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53222"/>
  <mc:AlternateContent xmlns:mc="http://schemas.openxmlformats.org/markup-compatibility/2006">
    <mc:Choice Requires="x15">
      <x15ac:absPath xmlns:x15ac="http://schemas.microsoft.com/office/spreadsheetml/2010/11/ac" url="D:\Usuarios\leonardocn\Desktop\"/>
    </mc:Choice>
  </mc:AlternateContent>
  <workbookProtection workbookAlgorithmName="SHA-512" workbookHashValue="x4NafSvxtGms0PKNVSXZiik/oMFj21p6SxEzW3rJh4XgIomBIk90wr7whxcXx1/5xT4m+FCnwgVk9NerQOAy4Q==" workbookSaltValue="jcxqQ2RkGJAZqtzvuglMbg==" workbookSpinCount="100000" lockStructure="1"/>
  <bookViews>
    <workbookView xWindow="0" yWindow="0" windowWidth="23040" windowHeight="8832"/>
  </bookViews>
  <sheets>
    <sheet name="Dados" sheetId="1" r:id="rId1"/>
    <sheet name="Patrimônio Líquido" sheetId="2" r:id="rId2"/>
  </sheets>
  <definedNames>
    <definedName name="_xlnm.Print_Area" localSheetId="0">Dados!$A$3:$J$134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42" i="1" l="1"/>
  <c r="AB41" i="1"/>
  <c r="Z41" i="1"/>
  <c r="AB104" i="1" l="1"/>
  <c r="AB108" i="1" l="1"/>
  <c r="F64" i="1" l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AB110" i="1" l="1"/>
  <c r="AA110" i="1" s="1"/>
  <c r="AB109" i="1"/>
  <c r="AA109" i="1" s="1"/>
  <c r="AA108" i="1"/>
  <c r="AB36" i="1"/>
  <c r="AB87" i="1" l="1"/>
  <c r="AB88" i="1" a="1"/>
  <c r="AB88" i="1" s="1"/>
  <c r="AE81" i="1" l="1"/>
  <c r="AB103" i="1"/>
  <c r="Z55" i="1" l="1"/>
  <c r="Z56" i="1"/>
  <c r="Z57" i="1"/>
  <c r="AB111" i="1" a="1"/>
  <c r="AB111" i="1" s="1"/>
  <c r="AA111" i="1" s="1"/>
  <c r="AB55" i="1" a="1"/>
  <c r="AB55" i="1" s="1"/>
  <c r="AB54" i="1" a="1"/>
  <c r="AB54" i="1" s="1"/>
  <c r="AH69" i="1"/>
  <c r="AD69" i="1" s="1" a="1"/>
  <c r="AD69" i="1" s="1"/>
  <c r="AH70" i="1"/>
  <c r="AB85" i="1"/>
  <c r="AA85" i="1" s="1"/>
  <c r="AB86" i="1"/>
  <c r="AA86" i="1" s="1"/>
  <c r="AA87" i="1"/>
  <c r="AA88" i="1"/>
  <c r="AB89" i="1"/>
  <c r="AA89" i="1" s="1"/>
  <c r="AB90" i="1"/>
  <c r="AA90" i="1" s="1"/>
  <c r="AB91" i="1"/>
  <c r="AA91" i="1" s="1"/>
  <c r="AB92" i="1"/>
  <c r="AA92" i="1" s="1"/>
  <c r="AB93" i="1"/>
  <c r="AA93" i="1" s="1"/>
  <c r="AB94" i="1"/>
  <c r="AA94" i="1" s="1"/>
  <c r="AB95" i="1"/>
  <c r="AA95" i="1" s="1"/>
  <c r="AB96" i="1"/>
  <c r="AA96" i="1" s="1"/>
  <c r="AB97" i="1"/>
  <c r="AA97" i="1" s="1"/>
  <c r="AB101" i="1"/>
  <c r="AA101" i="1" s="1"/>
  <c r="AB102" i="1"/>
  <c r="AA102" i="1" s="1"/>
  <c r="AA103" i="1"/>
  <c r="AD71" i="1" l="1" a="1"/>
  <c r="AD71" i="1" s="1"/>
  <c r="AD70" i="1" a="1"/>
  <c r="AD70" i="1" s="1"/>
  <c r="AB56" i="1" a="1"/>
  <c r="AB56" i="1" s="1"/>
  <c r="AA104" i="1"/>
  <c r="AB53" i="1" a="1"/>
  <c r="AB53" i="1" s="1"/>
  <c r="AA53" i="1" s="1"/>
  <c r="Z53" i="1" s="1"/>
  <c r="AB107" i="1" l="1"/>
  <c r="AA107" i="1" s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Z24" i="1" l="1"/>
  <c r="Z25" i="1"/>
  <c r="Z26" i="1"/>
  <c r="Z27" i="1"/>
  <c r="Z28" i="1"/>
  <c r="Z29" i="1"/>
  <c r="Z30" i="1"/>
  <c r="Z31" i="1"/>
  <c r="Z32" i="1"/>
  <c r="Z33" i="1"/>
  <c r="Z34" i="1"/>
  <c r="Z37" i="1"/>
  <c r="Z38" i="1"/>
  <c r="Z39" i="1"/>
  <c r="Z43" i="1"/>
  <c r="Z44" i="1"/>
  <c r="Z45" i="1"/>
  <c r="Z47" i="1"/>
  <c r="Z48" i="1"/>
  <c r="Z49" i="1"/>
  <c r="Z50" i="1"/>
  <c r="AC52" i="1"/>
  <c r="AB52" i="1"/>
  <c r="AA52" i="1" s="1"/>
  <c r="Z52" i="1" s="1"/>
  <c r="W29" i="1" l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X124" i="1" s="1"/>
  <c r="W125" i="1"/>
  <c r="X125" i="1" s="1"/>
  <c r="W126" i="1"/>
  <c r="X126" i="1" s="1"/>
  <c r="W127" i="1"/>
  <c r="X127" i="1" s="1"/>
  <c r="W128" i="1"/>
  <c r="X128" i="1" s="1"/>
  <c r="W129" i="1"/>
  <c r="X129" i="1" s="1"/>
  <c r="W130" i="1"/>
  <c r="X130" i="1" s="1"/>
  <c r="W131" i="1"/>
  <c r="X131" i="1" s="1"/>
  <c r="W132" i="1"/>
  <c r="X132" i="1" s="1"/>
  <c r="W133" i="1"/>
  <c r="X133" i="1" s="1"/>
  <c r="W134" i="1"/>
  <c r="X134" i="1" s="1"/>
  <c r="W135" i="1"/>
  <c r="X135" i="1" s="1"/>
  <c r="W136" i="1"/>
  <c r="X136" i="1" s="1"/>
  <c r="W137" i="1"/>
  <c r="X137" i="1" s="1"/>
  <c r="W138" i="1"/>
  <c r="X138" i="1" s="1"/>
  <c r="W139" i="1"/>
  <c r="X139" i="1" s="1"/>
  <c r="W140" i="1"/>
  <c r="X140" i="1" s="1"/>
  <c r="W141" i="1"/>
  <c r="X141" i="1" s="1"/>
  <c r="W142" i="1"/>
  <c r="X142" i="1" s="1"/>
  <c r="W143" i="1"/>
  <c r="X143" i="1" s="1"/>
  <c r="W144" i="1"/>
  <c r="X144" i="1" s="1"/>
  <c r="W145" i="1"/>
  <c r="X145" i="1" s="1"/>
  <c r="W146" i="1"/>
  <c r="X146" i="1" s="1"/>
  <c r="W147" i="1"/>
  <c r="X147" i="1" s="1"/>
  <c r="W28" i="1"/>
  <c r="K123" i="1"/>
  <c r="T123" i="1"/>
  <c r="U123" i="1" s="1"/>
  <c r="X123" i="1"/>
  <c r="K124" i="1"/>
  <c r="T124" i="1"/>
  <c r="U124" i="1" s="1"/>
  <c r="K125" i="1"/>
  <c r="T125" i="1"/>
  <c r="U125" i="1" s="1"/>
  <c r="K126" i="1"/>
  <c r="T126" i="1"/>
  <c r="U126" i="1" s="1"/>
  <c r="K127" i="1"/>
  <c r="T127" i="1"/>
  <c r="U127" i="1" s="1"/>
  <c r="K128" i="1"/>
  <c r="T128" i="1"/>
  <c r="U128" i="1" s="1"/>
  <c r="K129" i="1"/>
  <c r="T129" i="1"/>
  <c r="U129" i="1" s="1"/>
  <c r="K130" i="1"/>
  <c r="T130" i="1"/>
  <c r="U130" i="1" s="1"/>
  <c r="K131" i="1"/>
  <c r="T131" i="1"/>
  <c r="U131" i="1" s="1"/>
  <c r="K132" i="1"/>
  <c r="T132" i="1"/>
  <c r="U132" i="1" s="1"/>
  <c r="K133" i="1"/>
  <c r="T133" i="1"/>
  <c r="U133" i="1" s="1"/>
  <c r="K134" i="1"/>
  <c r="T134" i="1"/>
  <c r="U134" i="1" s="1"/>
  <c r="K135" i="1"/>
  <c r="T135" i="1"/>
  <c r="U135" i="1" s="1"/>
  <c r="K136" i="1"/>
  <c r="T136" i="1"/>
  <c r="U136" i="1" s="1"/>
  <c r="K137" i="1"/>
  <c r="T137" i="1"/>
  <c r="U137" i="1" s="1"/>
  <c r="K138" i="1"/>
  <c r="T138" i="1"/>
  <c r="U138" i="1" s="1"/>
  <c r="K139" i="1"/>
  <c r="T139" i="1"/>
  <c r="U139" i="1" s="1"/>
  <c r="K140" i="1"/>
  <c r="T140" i="1"/>
  <c r="U140" i="1" s="1"/>
  <c r="K141" i="1"/>
  <c r="T141" i="1"/>
  <c r="U141" i="1" s="1"/>
  <c r="K142" i="1"/>
  <c r="T142" i="1"/>
  <c r="U142" i="1" s="1"/>
  <c r="K143" i="1"/>
  <c r="T143" i="1"/>
  <c r="U143" i="1" s="1"/>
  <c r="K144" i="1"/>
  <c r="T144" i="1"/>
  <c r="U144" i="1" s="1"/>
  <c r="K145" i="1"/>
  <c r="T145" i="1"/>
  <c r="U145" i="1" s="1"/>
  <c r="K146" i="1"/>
  <c r="T146" i="1"/>
  <c r="U146" i="1" s="1"/>
  <c r="K147" i="1"/>
  <c r="T147" i="1"/>
  <c r="U147" i="1" s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AB35" i="1"/>
  <c r="AB29" i="1"/>
  <c r="AB30" i="1"/>
  <c r="AB31" i="1"/>
  <c r="AB32" i="1"/>
  <c r="AB33" i="1"/>
  <c r="AB34" i="1"/>
  <c r="AB25" i="1"/>
  <c r="AB26" i="1"/>
  <c r="AB27" i="1"/>
  <c r="AB28" i="1"/>
  <c r="AB24" i="1"/>
  <c r="AA36" i="1" l="1"/>
  <c r="Z36" i="1" s="1"/>
  <c r="AE79" i="1"/>
  <c r="AE80" i="1" s="1"/>
  <c r="AB106" i="1" s="1"/>
  <c r="T105" i="1" l="1"/>
  <c r="U105" i="1" s="1"/>
  <c r="T106" i="1"/>
  <c r="U106" i="1" s="1"/>
  <c r="T107" i="1"/>
  <c r="U107" i="1" s="1"/>
  <c r="T108" i="1"/>
  <c r="U108" i="1" s="1"/>
  <c r="T109" i="1"/>
  <c r="U109" i="1" s="1"/>
  <c r="T110" i="1"/>
  <c r="U110" i="1" s="1"/>
  <c r="T111" i="1"/>
  <c r="U111" i="1" s="1"/>
  <c r="T112" i="1"/>
  <c r="U112" i="1" s="1"/>
  <c r="T113" i="1"/>
  <c r="U113" i="1" s="1"/>
  <c r="T114" i="1"/>
  <c r="U114" i="1" s="1"/>
  <c r="T115" i="1"/>
  <c r="U115" i="1" s="1"/>
  <c r="T116" i="1"/>
  <c r="U116" i="1" s="1"/>
  <c r="T117" i="1"/>
  <c r="U117" i="1" s="1"/>
  <c r="T118" i="1"/>
  <c r="U118" i="1" s="1"/>
  <c r="T119" i="1"/>
  <c r="U119" i="1" s="1"/>
  <c r="T120" i="1"/>
  <c r="U120" i="1" s="1"/>
  <c r="T121" i="1"/>
  <c r="U121" i="1" s="1"/>
  <c r="T122" i="1"/>
  <c r="U122" i="1" s="1"/>
  <c r="K52" i="1"/>
  <c r="T52" i="1"/>
  <c r="U52" i="1" s="1"/>
  <c r="K53" i="1"/>
  <c r="T53" i="1"/>
  <c r="U53" i="1" s="1"/>
  <c r="K54" i="1"/>
  <c r="T54" i="1"/>
  <c r="U54" i="1" s="1"/>
  <c r="K55" i="1"/>
  <c r="T55" i="1"/>
  <c r="U55" i="1" s="1"/>
  <c r="K56" i="1"/>
  <c r="T56" i="1"/>
  <c r="U56" i="1" s="1"/>
  <c r="K57" i="1"/>
  <c r="T57" i="1"/>
  <c r="U57" i="1" s="1"/>
  <c r="K58" i="1"/>
  <c r="T58" i="1"/>
  <c r="U58" i="1" s="1"/>
  <c r="K59" i="1"/>
  <c r="T59" i="1"/>
  <c r="U59" i="1" s="1"/>
  <c r="K60" i="1"/>
  <c r="T60" i="1"/>
  <c r="U60" i="1" s="1"/>
  <c r="K61" i="1"/>
  <c r="T61" i="1"/>
  <c r="U61" i="1" s="1"/>
  <c r="K62" i="1"/>
  <c r="T62" i="1"/>
  <c r="U62" i="1" s="1"/>
  <c r="K63" i="1"/>
  <c r="T63" i="1"/>
  <c r="U63" i="1" s="1"/>
  <c r="K64" i="1"/>
  <c r="T64" i="1"/>
  <c r="U64" i="1" s="1"/>
  <c r="K65" i="1"/>
  <c r="T65" i="1"/>
  <c r="U65" i="1" s="1"/>
  <c r="K66" i="1"/>
  <c r="T66" i="1"/>
  <c r="U66" i="1" s="1"/>
  <c r="K67" i="1"/>
  <c r="T67" i="1"/>
  <c r="U67" i="1" s="1"/>
  <c r="K68" i="1"/>
  <c r="T68" i="1"/>
  <c r="U68" i="1" s="1"/>
  <c r="K69" i="1"/>
  <c r="T69" i="1"/>
  <c r="U69" i="1" s="1"/>
  <c r="K70" i="1"/>
  <c r="T70" i="1"/>
  <c r="U70" i="1" s="1"/>
  <c r="K71" i="1"/>
  <c r="T71" i="1"/>
  <c r="U71" i="1" s="1"/>
  <c r="K72" i="1"/>
  <c r="T72" i="1"/>
  <c r="U72" i="1" s="1"/>
  <c r="K73" i="1"/>
  <c r="T73" i="1"/>
  <c r="U73" i="1" s="1"/>
  <c r="K74" i="1"/>
  <c r="T74" i="1"/>
  <c r="U74" i="1" s="1"/>
  <c r="K75" i="1"/>
  <c r="T75" i="1"/>
  <c r="U75" i="1" s="1"/>
  <c r="K76" i="1"/>
  <c r="T76" i="1"/>
  <c r="U76" i="1" s="1"/>
  <c r="K77" i="1"/>
  <c r="T77" i="1"/>
  <c r="U77" i="1" s="1"/>
  <c r="K78" i="1"/>
  <c r="T78" i="1"/>
  <c r="U78" i="1" s="1"/>
  <c r="K79" i="1"/>
  <c r="T79" i="1"/>
  <c r="U79" i="1" s="1"/>
  <c r="K80" i="1"/>
  <c r="T80" i="1"/>
  <c r="U80" i="1" s="1"/>
  <c r="K81" i="1"/>
  <c r="T81" i="1"/>
  <c r="U81" i="1" s="1"/>
  <c r="K82" i="1"/>
  <c r="T82" i="1"/>
  <c r="U82" i="1" s="1"/>
  <c r="K83" i="1"/>
  <c r="T83" i="1"/>
  <c r="U83" i="1" s="1"/>
  <c r="K84" i="1"/>
  <c r="T84" i="1"/>
  <c r="U84" i="1" s="1"/>
  <c r="K85" i="1"/>
  <c r="T85" i="1"/>
  <c r="U85" i="1" s="1"/>
  <c r="K86" i="1"/>
  <c r="T86" i="1"/>
  <c r="U86" i="1" s="1"/>
  <c r="K87" i="1"/>
  <c r="T87" i="1"/>
  <c r="U87" i="1" s="1"/>
  <c r="K88" i="1"/>
  <c r="T88" i="1"/>
  <c r="U88" i="1" s="1"/>
  <c r="K89" i="1"/>
  <c r="T89" i="1"/>
  <c r="U89" i="1" s="1"/>
  <c r="K90" i="1"/>
  <c r="T90" i="1"/>
  <c r="U90" i="1" s="1"/>
  <c r="K91" i="1"/>
  <c r="T91" i="1"/>
  <c r="U91" i="1" s="1"/>
  <c r="K92" i="1"/>
  <c r="T92" i="1"/>
  <c r="U92" i="1" s="1"/>
  <c r="K93" i="1"/>
  <c r="T93" i="1"/>
  <c r="U93" i="1" s="1"/>
  <c r="K94" i="1"/>
  <c r="T94" i="1"/>
  <c r="U94" i="1" s="1"/>
  <c r="K95" i="1"/>
  <c r="T95" i="1"/>
  <c r="U95" i="1" s="1"/>
  <c r="K96" i="1"/>
  <c r="T96" i="1"/>
  <c r="U96" i="1" s="1"/>
  <c r="K97" i="1"/>
  <c r="T97" i="1"/>
  <c r="U97" i="1" s="1"/>
  <c r="K98" i="1"/>
  <c r="T98" i="1"/>
  <c r="U98" i="1" s="1"/>
  <c r="K99" i="1"/>
  <c r="T99" i="1"/>
  <c r="U99" i="1" s="1"/>
  <c r="K100" i="1"/>
  <c r="T100" i="1"/>
  <c r="U100" i="1" s="1"/>
  <c r="K101" i="1"/>
  <c r="T101" i="1"/>
  <c r="U101" i="1" s="1"/>
  <c r="K102" i="1"/>
  <c r="T102" i="1"/>
  <c r="U102" i="1" s="1"/>
  <c r="K103" i="1"/>
  <c r="T103" i="1"/>
  <c r="U103" i="1" s="1"/>
  <c r="K104" i="1"/>
  <c r="T104" i="1"/>
  <c r="U104" i="1" s="1"/>
  <c r="X52" i="1" l="1"/>
  <c r="X53" i="1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AA106" i="1" l="1"/>
  <c r="AB57" i="1" a="1"/>
  <c r="AB57" i="1" s="1"/>
  <c r="AA54" i="1" s="1"/>
  <c r="Z54" i="1" s="1"/>
  <c r="Z35" i="1"/>
  <c r="X54" i="1"/>
  <c r="X55" i="1"/>
  <c r="X57" i="1" l="1"/>
  <c r="X56" i="1"/>
  <c r="X59" i="1" l="1"/>
  <c r="X58" i="1"/>
  <c r="X60" i="1" l="1"/>
  <c r="X61" i="1"/>
  <c r="X63" i="1" l="1"/>
  <c r="X62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X65" i="1" l="1"/>
  <c r="X64" i="1"/>
  <c r="X67" i="1" l="1"/>
  <c r="X66" i="1"/>
  <c r="X68" i="1" l="1"/>
  <c r="X69" i="1"/>
  <c r="X70" i="1" l="1"/>
  <c r="X71" i="1"/>
  <c r="X73" i="1" l="1"/>
  <c r="X72" i="1"/>
  <c r="T29" i="1"/>
  <c r="U29" i="1" s="1"/>
  <c r="T30" i="1"/>
  <c r="U30" i="1" s="1"/>
  <c r="T31" i="1"/>
  <c r="U31" i="1" s="1"/>
  <c r="T32" i="1"/>
  <c r="U32" i="1" s="1"/>
  <c r="T33" i="1"/>
  <c r="U33" i="1" s="1"/>
  <c r="T34" i="1"/>
  <c r="U34" i="1" s="1"/>
  <c r="T35" i="1"/>
  <c r="U35" i="1" s="1"/>
  <c r="T36" i="1"/>
  <c r="U36" i="1" s="1"/>
  <c r="T37" i="1"/>
  <c r="U37" i="1" s="1"/>
  <c r="T38" i="1"/>
  <c r="U38" i="1" s="1"/>
  <c r="T39" i="1"/>
  <c r="U39" i="1" s="1"/>
  <c r="T40" i="1"/>
  <c r="U40" i="1" s="1"/>
  <c r="T41" i="1"/>
  <c r="U41" i="1" s="1"/>
  <c r="T42" i="1"/>
  <c r="U42" i="1" s="1"/>
  <c r="T43" i="1"/>
  <c r="U43" i="1" s="1"/>
  <c r="T44" i="1"/>
  <c r="U44" i="1" s="1"/>
  <c r="T45" i="1"/>
  <c r="U45" i="1" s="1"/>
  <c r="T46" i="1"/>
  <c r="U46" i="1" s="1"/>
  <c r="T47" i="1"/>
  <c r="U47" i="1" s="1"/>
  <c r="T48" i="1"/>
  <c r="U48" i="1" s="1"/>
  <c r="T49" i="1"/>
  <c r="U49" i="1" s="1"/>
  <c r="T50" i="1"/>
  <c r="U50" i="1" s="1"/>
  <c r="T51" i="1"/>
  <c r="U51" i="1" s="1"/>
  <c r="T28" i="1"/>
  <c r="K39" i="1"/>
  <c r="X74" i="1" l="1"/>
  <c r="X75" i="1"/>
  <c r="T25" i="1"/>
  <c r="K51" i="1"/>
  <c r="K50" i="1"/>
  <c r="K49" i="1"/>
  <c r="K48" i="1"/>
  <c r="K47" i="1"/>
  <c r="K46" i="1"/>
  <c r="K45" i="1"/>
  <c r="K44" i="1"/>
  <c r="K43" i="1"/>
  <c r="K42" i="1"/>
  <c r="K41" i="1"/>
  <c r="K40" i="1"/>
  <c r="K38" i="1"/>
  <c r="K37" i="1"/>
  <c r="K36" i="1"/>
  <c r="K35" i="1"/>
  <c r="K34" i="1"/>
  <c r="K33" i="1"/>
  <c r="K32" i="1"/>
  <c r="K31" i="1"/>
  <c r="K30" i="1"/>
  <c r="K29" i="1"/>
  <c r="X77" i="1" l="1"/>
  <c r="X76" i="1"/>
  <c r="X49" i="1"/>
  <c r="X46" i="1"/>
  <c r="X41" i="1"/>
  <c r="X51" i="1"/>
  <c r="X42" i="1"/>
  <c r="X40" i="1"/>
  <c r="X47" i="1"/>
  <c r="X48" i="1"/>
  <c r="X43" i="1"/>
  <c r="X50" i="1"/>
  <c r="X45" i="1"/>
  <c r="X44" i="1"/>
  <c r="X79" i="1" l="1"/>
  <c r="X78" i="1" l="1"/>
  <c r="X80" i="1"/>
  <c r="X81" i="1"/>
  <c r="X83" i="1" l="1"/>
  <c r="K28" i="1"/>
  <c r="AB105" i="1" s="1" a="1"/>
  <c r="AB105" i="1" s="1"/>
  <c r="AA105" i="1" s="1"/>
  <c r="X82" i="1" l="1"/>
  <c r="X85" i="1"/>
  <c r="X84" i="1" l="1"/>
  <c r="X87" i="1"/>
  <c r="X30" i="1"/>
  <c r="X36" i="1"/>
  <c r="X33" i="1"/>
  <c r="X32" i="1"/>
  <c r="X37" i="1"/>
  <c r="X29" i="1"/>
  <c r="X39" i="1"/>
  <c r="X35" i="1"/>
  <c r="X31" i="1"/>
  <c r="X38" i="1"/>
  <c r="X34" i="1"/>
  <c r="X86" i="1" l="1"/>
  <c r="X89" i="1"/>
  <c r="X88" i="1"/>
  <c r="X90" i="1" l="1"/>
  <c r="X91" i="1"/>
  <c r="A28" i="1"/>
  <c r="AB48" i="1" l="1" a="1"/>
  <c r="AB48" i="1" s="1"/>
  <c r="AB51" i="1" a="1"/>
  <c r="AB51" i="1" s="1"/>
  <c r="AB50" i="1" a="1"/>
  <c r="AB50" i="1" s="1"/>
  <c r="AB49" i="1" a="1"/>
  <c r="AB49" i="1" s="1"/>
  <c r="AB47" i="1" a="1"/>
  <c r="AB47" i="1" s="1"/>
  <c r="AB45" i="1" a="1"/>
  <c r="AB45" i="1" s="1"/>
  <c r="AB39" i="1" a="1"/>
  <c r="AB39" i="1" s="1"/>
  <c r="AB44" i="1" a="1"/>
  <c r="AB44" i="1" s="1"/>
  <c r="AB38" i="1" a="1"/>
  <c r="AB38" i="1" s="1"/>
  <c r="AB43" i="1" a="1"/>
  <c r="AB43" i="1" s="1"/>
  <c r="AB37" i="1" a="1"/>
  <c r="AB37" i="1" s="1"/>
  <c r="AB40" i="1" a="1"/>
  <c r="AB40" i="1" s="1"/>
  <c r="AB46" i="1" a="1"/>
  <c r="AB46" i="1" s="1"/>
  <c r="D28" i="1"/>
  <c r="E28" i="1" s="1"/>
  <c r="F28" i="1" s="1"/>
  <c r="X28" i="1"/>
  <c r="U28" i="1"/>
  <c r="X93" i="1"/>
  <c r="X92" i="1"/>
  <c r="AA42" i="1" l="1"/>
  <c r="Z42" i="1" s="1"/>
  <c r="H10" i="1"/>
  <c r="AA51" i="1"/>
  <c r="Z51" i="1" s="1"/>
  <c r="AA46" i="1"/>
  <c r="Z46" i="1" s="1"/>
  <c r="Z40" i="1"/>
  <c r="D29" i="1"/>
  <c r="E29" i="1" s="1"/>
  <c r="F29" i="1" s="1"/>
  <c r="X94" i="1"/>
  <c r="X95" i="1"/>
  <c r="U25" i="1"/>
  <c r="AE73" i="1" s="1"/>
  <c r="I11" i="1" l="1"/>
  <c r="H11" i="1"/>
  <c r="I10" i="1"/>
  <c r="D30" i="1"/>
  <c r="E30" i="1" s="1"/>
  <c r="F30" i="1" s="1"/>
  <c r="X97" i="1"/>
  <c r="X96" i="1"/>
  <c r="D31" i="1" l="1"/>
  <c r="E31" i="1" s="1"/>
  <c r="F31" i="1" s="1"/>
  <c r="X99" i="1"/>
  <c r="X98" i="1"/>
  <c r="D32" i="1" l="1"/>
  <c r="E32" i="1" s="1"/>
  <c r="F32" i="1" s="1"/>
  <c r="X101" i="1"/>
  <c r="X100" i="1"/>
  <c r="D33" i="1" l="1"/>
  <c r="E33" i="1" s="1"/>
  <c r="F33" i="1" s="1"/>
  <c r="X103" i="1"/>
  <c r="X102" i="1"/>
  <c r="D34" i="1" l="1"/>
  <c r="E34" i="1" s="1"/>
  <c r="F34" i="1" s="1"/>
  <c r="X104" i="1"/>
  <c r="X105" i="1"/>
  <c r="D35" i="1" l="1"/>
  <c r="E35" i="1" s="1"/>
  <c r="F35" i="1" s="1"/>
  <c r="X106" i="1"/>
  <c r="X107" i="1"/>
  <c r="D36" i="1" l="1"/>
  <c r="E36" i="1" s="1"/>
  <c r="F36" i="1" s="1"/>
  <c r="X109" i="1"/>
  <c r="X108" i="1"/>
  <c r="D37" i="1" l="1"/>
  <c r="E37" i="1" s="1"/>
  <c r="F37" i="1" s="1"/>
  <c r="X110" i="1"/>
  <c r="D38" i="1" l="1"/>
  <c r="E38" i="1" s="1"/>
  <c r="F38" i="1" s="1"/>
  <c r="X111" i="1"/>
  <c r="X25" i="1" s="1"/>
  <c r="AE74" i="1" s="1"/>
  <c r="AB84" i="1" s="1"/>
  <c r="W25" i="1"/>
  <c r="X113" i="1"/>
  <c r="X112" i="1"/>
  <c r="AE75" i="1" l="1"/>
  <c r="AE76" i="1" s="1"/>
  <c r="AB83" i="1" s="1"/>
  <c r="AA84" i="1"/>
  <c r="D39" i="1"/>
  <c r="E39" i="1" s="1"/>
  <c r="F39" i="1" s="1"/>
  <c r="X115" i="1"/>
  <c r="X114" i="1"/>
  <c r="AA83" i="1" l="1"/>
  <c r="D40" i="1"/>
  <c r="E40" i="1" s="1"/>
  <c r="F40" i="1" s="1"/>
  <c r="X117" i="1"/>
  <c r="X116" i="1"/>
  <c r="D41" i="1" l="1"/>
  <c r="E41" i="1" s="1"/>
  <c r="F41" i="1" s="1"/>
  <c r="X121" i="1"/>
  <c r="X119" i="1"/>
  <c r="X118" i="1"/>
  <c r="D42" i="1" l="1"/>
  <c r="E42" i="1" s="1"/>
  <c r="F42" i="1" s="1"/>
  <c r="X122" i="1"/>
  <c r="X120" i="1"/>
  <c r="D43" i="1" l="1"/>
  <c r="E43" i="1" s="1"/>
  <c r="F43" i="1" s="1"/>
  <c r="D44" i="1" l="1"/>
  <c r="E44" i="1" s="1"/>
  <c r="F44" i="1" s="1"/>
  <c r="D45" i="1" l="1"/>
  <c r="E45" i="1" s="1"/>
  <c r="F45" i="1" s="1"/>
  <c r="D46" i="1" l="1"/>
  <c r="E46" i="1" s="1"/>
  <c r="F46" i="1" s="1"/>
  <c r="D47" i="1" l="1"/>
  <c r="E47" i="1" s="1"/>
  <c r="F47" i="1" s="1"/>
  <c r="D48" i="1" l="1"/>
  <c r="E48" i="1" s="1"/>
  <c r="F48" i="1" s="1"/>
  <c r="D49" i="1" l="1"/>
  <c r="E49" i="1" s="1"/>
  <c r="F49" i="1" s="1"/>
  <c r="D50" i="1" l="1"/>
  <c r="E50" i="1" s="1"/>
  <c r="F50" i="1" s="1"/>
  <c r="D51" i="1" l="1"/>
  <c r="E51" i="1" l="1"/>
  <c r="F51" i="1" s="1"/>
  <c r="D52" i="1"/>
  <c r="E52" i="1" l="1"/>
  <c r="F52" i="1" s="1"/>
  <c r="D53" i="1"/>
  <c r="E53" i="1" l="1"/>
  <c r="F53" i="1" s="1"/>
  <c r="D54" i="1"/>
  <c r="E54" i="1" l="1"/>
  <c r="F54" i="1" s="1"/>
  <c r="D55" i="1"/>
  <c r="E55" i="1" l="1"/>
  <c r="F55" i="1" s="1"/>
  <c r="D56" i="1"/>
  <c r="E56" i="1" l="1"/>
  <c r="F56" i="1" s="1"/>
  <c r="D57" i="1"/>
  <c r="E57" i="1" l="1"/>
  <c r="F57" i="1" s="1"/>
  <c r="D58" i="1"/>
  <c r="E58" i="1" l="1"/>
  <c r="F58" i="1" s="1"/>
  <c r="D59" i="1"/>
  <c r="E59" i="1" l="1"/>
  <c r="F59" i="1" s="1"/>
  <c r="D60" i="1"/>
  <c r="E60" i="1" l="1"/>
  <c r="F60" i="1" s="1"/>
  <c r="D61" i="1"/>
  <c r="E61" i="1" l="1"/>
  <c r="F61" i="1" s="1"/>
  <c r="D62" i="1"/>
  <c r="E62" i="1" l="1"/>
  <c r="F62" i="1" s="1"/>
  <c r="D63" i="1"/>
  <c r="E63" i="1" l="1"/>
  <c r="F63" i="1" s="1"/>
  <c r="D64" i="1"/>
  <c r="E64" i="1" l="1"/>
  <c r="D65" i="1"/>
  <c r="E65" i="1" l="1"/>
  <c r="D66" i="1"/>
  <c r="E66" i="1" l="1"/>
  <c r="D67" i="1"/>
  <c r="E67" i="1" l="1"/>
  <c r="D68" i="1"/>
  <c r="E68" i="1" l="1"/>
  <c r="D69" i="1"/>
  <c r="E69" i="1" l="1"/>
  <c r="D70" i="1"/>
  <c r="E70" i="1" l="1"/>
  <c r="D71" i="1"/>
  <c r="E71" i="1" l="1"/>
  <c r="D72" i="1"/>
  <c r="E72" i="1" l="1"/>
  <c r="D73" i="1"/>
  <c r="E73" i="1" l="1"/>
  <c r="D74" i="1"/>
  <c r="E74" i="1" l="1"/>
  <c r="D75" i="1"/>
  <c r="E75" i="1" l="1"/>
  <c r="D76" i="1"/>
  <c r="E76" i="1" l="1"/>
  <c r="D77" i="1"/>
  <c r="E77" i="1" l="1"/>
  <c r="D78" i="1"/>
  <c r="E78" i="1" l="1"/>
  <c r="D79" i="1"/>
  <c r="E79" i="1" l="1"/>
  <c r="D80" i="1"/>
  <c r="E80" i="1" l="1"/>
  <c r="D81" i="1"/>
  <c r="E81" i="1" l="1"/>
  <c r="D82" i="1"/>
  <c r="E82" i="1" l="1"/>
  <c r="D83" i="1"/>
  <c r="E83" i="1" l="1"/>
  <c r="D84" i="1"/>
  <c r="E84" i="1" l="1"/>
  <c r="D85" i="1"/>
  <c r="E85" i="1" l="1"/>
  <c r="D86" i="1"/>
  <c r="E86" i="1" l="1"/>
  <c r="D87" i="1"/>
  <c r="E87" i="1" s="1"/>
  <c r="AB100" i="1" l="1"/>
  <c r="AA100" i="1" s="1"/>
  <c r="AB98" i="1"/>
  <c r="AB99" i="1"/>
  <c r="AA99" i="1" s="1"/>
  <c r="AA98" i="1" l="1"/>
  <c r="H13" i="1"/>
  <c r="I13" i="1" l="1"/>
  <c r="I14" i="1"/>
  <c r="H14" i="1"/>
</calcChain>
</file>

<file path=xl/comments1.xml><?xml version="1.0" encoding="utf-8"?>
<comments xmlns="http://schemas.openxmlformats.org/spreadsheetml/2006/main">
  <authors>
    <author>Leonardo da Cruz Nassif</author>
    <author>leonardocn</author>
  </authors>
  <commentList>
    <comment ref="C27" authorId="0" shapeId="0">
      <text>
        <r>
          <rPr>
            <sz val="9"/>
            <color indexed="81"/>
            <rFont val="Segoe UI"/>
            <family val="2"/>
          </rPr>
          <t xml:space="preserve"> ( 1 - Penalidade)
</t>
        </r>
      </text>
    </comment>
    <comment ref="AC79" authorId="1" shapeId="0">
      <text>
        <r>
          <rPr>
            <b/>
            <sz val="9"/>
            <color indexed="81"/>
            <rFont val="Segoe UI"/>
            <family val="2"/>
          </rPr>
          <t>leonardocn:</t>
        </r>
        <r>
          <rPr>
            <sz val="9"/>
            <color indexed="81"/>
            <rFont val="Segoe UI"/>
            <family val="2"/>
          </rPr>
          <t xml:space="preserve">
Nos casos  de sorteios semanais. Considerar 5 semanas no mês.
</t>
        </r>
      </text>
    </comment>
  </commentList>
</comments>
</file>

<file path=xl/sharedStrings.xml><?xml version="1.0" encoding="utf-8"?>
<sst xmlns="http://schemas.openxmlformats.org/spreadsheetml/2006/main" count="178" uniqueCount="147">
  <si>
    <t>Empresa:</t>
  </si>
  <si>
    <t>Modalidade:</t>
  </si>
  <si>
    <t>Total</t>
  </si>
  <si>
    <t>Tamanho da Série</t>
  </si>
  <si>
    <t>Empresa</t>
  </si>
  <si>
    <t>PL</t>
  </si>
  <si>
    <t>10% do PL</t>
  </si>
  <si>
    <t>Maior Múltiplo por Mês:</t>
  </si>
  <si>
    <t>Maior Sorteio:</t>
  </si>
  <si>
    <t>CÁLCULO DO VALOR DE RESGATE</t>
  </si>
  <si>
    <t>pagamento</t>
  </si>
  <si>
    <t>RM cheia</t>
  </si>
  <si>
    <t>Soma das cotas</t>
  </si>
  <si>
    <t>Multiplo do Sorteio</t>
  </si>
  <si>
    <t>A cota de sorteio informada não corresponde ao total de premiação apresentada.</t>
  </si>
  <si>
    <t>Zurich</t>
  </si>
  <si>
    <t>Mapfre</t>
  </si>
  <si>
    <t>BRASILCAP CAPITALIZAÇÃO S.A.</t>
  </si>
  <si>
    <t>ICATU CAPITALIZAÇÃO S.A.</t>
  </si>
  <si>
    <t>CAPEMISA CAPITALIZAÇÃO S.A.</t>
  </si>
  <si>
    <t>CARDIF CAPITALIZAÇÃO S.A.</t>
  </si>
  <si>
    <t>ZURICH BRASIL CAPITALIZAÇÃO S.A.</t>
  </si>
  <si>
    <t>APLUB CAPITALIZAÇÃO S.A.</t>
  </si>
  <si>
    <t>BRADESCO CAPITALIZAÇÃO S.A.</t>
  </si>
  <si>
    <t>CAIXA CAPITALIZAÇÃO S.A.</t>
  </si>
  <si>
    <t>LIDERANÇA CAPITALIZAÇÃO S/A</t>
  </si>
  <si>
    <t>MAPFRE CAPITALIZAÇÃO S.A.</t>
  </si>
  <si>
    <t>PORTO SEGURO CAPITALIZAÇÃO S.A.</t>
  </si>
  <si>
    <t>SUL AMÉRICA CAPITALIZAÇÃO S.A. - SULACAP</t>
  </si>
  <si>
    <t>APLICAP CAPITALIZAÇÃO S.A.</t>
  </si>
  <si>
    <t>SANTANDER CAPITALIZAÇÃO S.A.</t>
  </si>
  <si>
    <t>CIA. ITAÚ DE CAPITALIZAÇÃO S.A.</t>
  </si>
  <si>
    <t>Brasilcap</t>
  </si>
  <si>
    <t>Invest</t>
  </si>
  <si>
    <t>Icatu</t>
  </si>
  <si>
    <t>Capemisa</t>
  </si>
  <si>
    <t>Cardif</t>
  </si>
  <si>
    <t>Aplub</t>
  </si>
  <si>
    <t>Bradesco</t>
  </si>
  <si>
    <t>Caixa</t>
  </si>
  <si>
    <t>Liderança</t>
  </si>
  <si>
    <t>Porto Seguro</t>
  </si>
  <si>
    <t>Sulacap</t>
  </si>
  <si>
    <t>Aplicap</t>
  </si>
  <si>
    <t>Santander</t>
  </si>
  <si>
    <t>Cia Itaú</t>
  </si>
  <si>
    <t>Nome abrev.</t>
  </si>
  <si>
    <t>n</t>
  </si>
  <si>
    <t>t</t>
  </si>
  <si>
    <t>i</t>
  </si>
  <si>
    <t>i'</t>
  </si>
  <si>
    <t>P</t>
  </si>
  <si>
    <t>P(mín)</t>
  </si>
  <si>
    <t>Taxa de Juros da Capitalização</t>
  </si>
  <si>
    <t>Valor mín do pagamento</t>
  </si>
  <si>
    <t>Taxa de Juros da Prov de Sorteio</t>
  </si>
  <si>
    <t>10% PL</t>
  </si>
  <si>
    <t>Prazo da Série ( em meses)</t>
  </si>
  <si>
    <t>Prazo de pagamento</t>
  </si>
  <si>
    <t>Produto é PM ou PP com Cota de Capitalização Inferior a 10% nos 3 primeiros meses.</t>
  </si>
  <si>
    <t>Produto é PM ou PP com Cota de Capitalização média inferior a 70%.</t>
  </si>
  <si>
    <t xml:space="preserve">Kirton </t>
  </si>
  <si>
    <t>INVEST CAPITALIZAÇÃO S.A.</t>
  </si>
  <si>
    <t>RG</t>
  </si>
  <si>
    <t>RG CAPITALIZAÇÃO S.A.</t>
  </si>
  <si>
    <t>KIRTON CAPITALIZAÇÃO S.A.</t>
  </si>
  <si>
    <t>Padrão?</t>
  </si>
  <si>
    <t>Processo</t>
  </si>
  <si>
    <t>Atributos do Produto</t>
  </si>
  <si>
    <t>Variáveis do Produto</t>
  </si>
  <si>
    <t>Quota sorteio</t>
  </si>
  <si>
    <t>Validação das entradas.</t>
  </si>
  <si>
    <t>Orientações:</t>
  </si>
  <si>
    <t>Custeio de Sorteio</t>
  </si>
  <si>
    <t>VP(Custeio de Sorteio)</t>
  </si>
  <si>
    <t>Quota de Capitalização</t>
  </si>
  <si>
    <t>Quota de Carregamento</t>
  </si>
  <si>
    <t>VP(Multiplo do Sorteio)</t>
  </si>
  <si>
    <t>Modalidade 2</t>
  </si>
  <si>
    <t>Modalidade 3</t>
  </si>
  <si>
    <t>Modalidade 4</t>
  </si>
  <si>
    <t>Modalidade 5</t>
  </si>
  <si>
    <t>Multiplos de sorteio agregados por mês</t>
  </si>
  <si>
    <t>Celulas salmão devem estar vazias</t>
  </si>
  <si>
    <t>Celulas da amarelo claro devem ser preenchidas em razão dos sorteios.</t>
  </si>
  <si>
    <t>Modalidades são relativos a tipo de premiação, semanal, mensal, anual, instantânea etc</t>
  </si>
  <si>
    <t>Celulas em vermelho devem ser revistas</t>
  </si>
  <si>
    <t>célula(s) não devem ser preenchida(s).</t>
  </si>
  <si>
    <t>célula(s) deve(m) ser preenchida(s).</t>
  </si>
  <si>
    <t>Análise de Preenchimento:</t>
  </si>
  <si>
    <t>célula(s) não deve(m) ser preenchida(s).</t>
  </si>
  <si>
    <t>Crítica de Produto:</t>
  </si>
  <si>
    <t>Quota de sorteio geral:</t>
  </si>
  <si>
    <t>Modalidade 1 - Exclusiva para Premiação instantânea</t>
  </si>
  <si>
    <t>Forma de Custeio</t>
  </si>
  <si>
    <t>Produto é Popular e a Cota de Sorteio é menor que 5%.</t>
  </si>
  <si>
    <t>Valor mínimo</t>
  </si>
  <si>
    <t>Modalidade Instrumento de Garantia com vigência inferior a 6 meses.</t>
  </si>
  <si>
    <t>Modalidade Tradicional com vigência inferior a 12 meses.</t>
  </si>
  <si>
    <t>Modalidade Compra Programada com vigência inferior a 6 meses.</t>
  </si>
  <si>
    <t>Modalidade Popular com vigência inferior a 12 meses.</t>
  </si>
  <si>
    <t>Modalidade Incentivo com vigência inferior a 60 dias.</t>
  </si>
  <si>
    <t>Modalidade Filantropia Premiável com vigência inferior a 60 dias.</t>
  </si>
  <si>
    <t>½ vigência</t>
  </si>
  <si>
    <t>¾ vigência</t>
  </si>
  <si>
    <t>Tabela de Resgate Antecipado</t>
  </si>
  <si>
    <t>RM_liq/soma P</t>
  </si>
  <si>
    <t>Produto é Popular, PU e a Quota de Capitalização não é maior que 50%</t>
  </si>
  <si>
    <t>Produto Tradicional ou Instrumento de Garantia PU e Cota de Capitalização é menor que 70%.</t>
  </si>
  <si>
    <t>A modalidade Compra Programada não pode ser estruturada na forma de custeio de Pagamento Único (PU).</t>
  </si>
  <si>
    <t>A modalidade Filantropia Premiável somente pode ser estruturada na forma de custeio de Pagamento Único (PU).</t>
  </si>
  <si>
    <t>A quota de capitalização deve ser superior às demais quotas individualmente consideradas.</t>
  </si>
  <si>
    <t>Premiação instantânea não pode ser superior a 30% do total de sorteios.</t>
  </si>
  <si>
    <t>Na modalidade Tradicional, ao final do prazo de vigência, a Provisão Matemática para Resgate deverá corresponder, no mínimo, à 100% dos pagamentos efetuados.</t>
  </si>
  <si>
    <t>Na modalidade Instrumento de Garantia, ao final do prazo de vigência, a Provisão Matemática para Resgate deverá corresponder, no mínimo, à 95% dos pagamentos efetuados.</t>
  </si>
  <si>
    <t>Na modalidade Compra Programada, ao final do prazo de vigência, a Provisão Matemática para Resgate deverá corresponder, no mínimo, à 100% dos pagamentos efetuados.</t>
  </si>
  <si>
    <t>Valor máximo de pagamento</t>
  </si>
  <si>
    <t>Produto é PM ou PP com Cota de Capitalização Inferior a 70% nos demais meses (após os 3 meses iniciais).</t>
  </si>
  <si>
    <t>O produto é Tradicional ou Compra Programada ou Instrumento de garantia e a taxa de juros é inferior a 0,35%</t>
  </si>
  <si>
    <t>O produto é Popular ou Incentivo ou Filantropia Premiável e a taxa de juros é inferior a 0,16%</t>
  </si>
  <si>
    <t>campos com valores não numéricos (incompatíveis).</t>
  </si>
  <si>
    <t>Valor máximo dos sorteios previstos, por mês,excede a 10% (dez por cento) do último patrimônio líquido ajustado.</t>
  </si>
  <si>
    <t>As quotas devem somar 100% em cada mês de contribuição.</t>
  </si>
  <si>
    <t>Múltiplos não podem ser definidos entre 0 e 1.</t>
  </si>
  <si>
    <t>Penalidade de Resgate Antecipado</t>
  </si>
  <si>
    <t>Tolerância Máxima Definida</t>
  </si>
  <si>
    <t>Percentual Mín</t>
  </si>
  <si>
    <t>Resgate antecipado incompatível.</t>
  </si>
  <si>
    <t>Prazo de vigência</t>
  </si>
  <si>
    <t xml:space="preserve">Até ½ </t>
  </si>
  <si>
    <t>De ½ até ¾</t>
  </si>
  <si>
    <t>Após ¾</t>
  </si>
  <si>
    <t>células não podem ter valor negativo</t>
  </si>
  <si>
    <t>OBS: Prêmios semanais devem ser agregados, usando uma quantidade de semanal média de 4,33 ou outro valor discriminado na nota técnica.</t>
  </si>
  <si>
    <t>Celulas amarelas devem ficar verdes</t>
  </si>
  <si>
    <t>atributo(s) deve(m) ser preenchido.</t>
  </si>
  <si>
    <t>variável(is) deve(m) ser preenchida(s).</t>
  </si>
  <si>
    <t>Tabela de 10% do PL em junho/2018</t>
  </si>
  <si>
    <t>Prazo de carência para Tradicional e Compra Programada é no mínimo 30 dias (1 mês)</t>
  </si>
  <si>
    <t>Prazo de carência para Popular, Incentivo e Filantropia Premiável é, no mínimo, 60 dias (2 meses)</t>
  </si>
  <si>
    <t>Prazo de carência não pode exceder 24 meses nem exceder a vigência.</t>
  </si>
  <si>
    <t>Carência de Resgate</t>
  </si>
  <si>
    <t>% resgate</t>
  </si>
  <si>
    <t>REP</t>
  </si>
  <si>
    <t>Hora do protocolo</t>
  </si>
  <si>
    <t>Data do protocolo</t>
  </si>
  <si>
    <t>Versão da Planilha de 10/12/2018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</si>
</sst>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0"/>
    <numFmt numFmtId="165" formatCode="&quot;R$&quot;\ #,##0.00"/>
    <numFmt numFmtId="166" formatCode="0.000%"/>
    <numFmt numFmtId="167" formatCode="0\ &quot;meses&quot;"/>
    <numFmt numFmtId="168" formatCode="0.00%\ &quot;a.m.&quot;"/>
    <numFmt numFmtId="169" formatCode="0.00000000000000"/>
    <numFmt numFmtId="170" formatCode="0.00000000%"/>
    <numFmt numFmtId="171" formatCode="&quot;R$&quot;\ #,##0.000000;[Red]\-&quot;R$&quot;\ #,##0.000000"/>
    <numFmt numFmtId="172" formatCode="_-* #,##0.0000_-;\-* #,##0.0000_-;_-* &quot;-&quot;??_-;_-@_-"/>
    <numFmt numFmtId="173" formatCode="_-* 0.00%_-;\-* 0.00%_-;_-* &quot;-&quot;??_-;_-@_-"/>
    <numFmt numFmtId="174" formatCode="&quot;15414.&quot;000000&quot;/&quot;0000\-00"/>
    <numFmt numFmtId="175" formatCode="h:mm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6">
    <xf numFmtId="0" fontId="0" fillId="0" borderId="0" xfId="0"/>
    <xf numFmtId="0" fontId="0" fillId="0" borderId="0" xfId="0" applyAlignment="1">
      <alignment horizontal="right"/>
    </xf>
    <xf numFmtId="0" fontId="0" fillId="4" borderId="6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9" xfId="0" applyBorder="1"/>
    <xf numFmtId="0" fontId="0" fillId="0" borderId="0" xfId="0" applyBorder="1"/>
    <xf numFmtId="0" fontId="0" fillId="0" borderId="15" xfId="0" applyBorder="1"/>
    <xf numFmtId="10" fontId="0" fillId="0" borderId="10" xfId="0" applyNumberFormat="1" applyBorder="1"/>
    <xf numFmtId="0" fontId="0" fillId="6" borderId="1" xfId="0" applyFill="1" applyBorder="1"/>
    <xf numFmtId="165" fontId="0" fillId="6" borderId="5" xfId="0" applyNumberFormat="1" applyFill="1" applyBorder="1"/>
    <xf numFmtId="0" fontId="0" fillId="6" borderId="11" xfId="0" applyFill="1" applyBorder="1"/>
    <xf numFmtId="165" fontId="0" fillId="6" borderId="1" xfId="0" applyNumberFormat="1" applyFill="1" applyBorder="1"/>
    <xf numFmtId="172" fontId="4" fillId="0" borderId="0" xfId="1" applyNumberFormat="1" applyFont="1" applyBorder="1" applyAlignment="1" applyProtection="1">
      <alignment horizontal="center" vertical="center"/>
    </xf>
    <xf numFmtId="173" fontId="4" fillId="0" borderId="0" xfId="1" applyNumberFormat="1" applyFont="1" applyBorder="1" applyAlignment="1" applyProtection="1">
      <alignment vertical="center"/>
    </xf>
    <xf numFmtId="10" fontId="4" fillId="5" borderId="16" xfId="2" applyNumberFormat="1" applyFont="1" applyFill="1" applyBorder="1" applyAlignment="1" applyProtection="1">
      <alignment horizontal="center"/>
      <protection locked="0"/>
    </xf>
    <xf numFmtId="10" fontId="4" fillId="5" borderId="18" xfId="2" applyNumberFormat="1" applyFont="1" applyFill="1" applyBorder="1" applyAlignment="1" applyProtection="1">
      <alignment horizontal="center"/>
      <protection locked="0"/>
    </xf>
    <xf numFmtId="0" fontId="0" fillId="0" borderId="0" xfId="0" applyProtection="1"/>
    <xf numFmtId="0" fontId="5" fillId="0" borderId="0" xfId="0" applyFont="1" applyProtection="1"/>
    <xf numFmtId="0" fontId="0" fillId="2" borderId="1" xfId="0" applyFill="1" applyBorder="1" applyAlignment="1" applyProtection="1">
      <alignment horizontal="left"/>
    </xf>
    <xf numFmtId="0" fontId="0" fillId="5" borderId="0" xfId="0" applyFill="1" applyProtection="1"/>
    <xf numFmtId="0" fontId="0" fillId="2" borderId="0" xfId="0" applyFill="1" applyBorder="1" applyAlignment="1" applyProtection="1">
      <alignment horizontal="left"/>
    </xf>
    <xf numFmtId="0" fontId="0" fillId="7" borderId="0" xfId="0" applyFill="1" applyProtection="1"/>
    <xf numFmtId="0" fontId="0" fillId="9" borderId="0" xfId="0" applyFill="1" applyProtection="1"/>
    <xf numFmtId="165" fontId="0" fillId="0" borderId="0" xfId="0" applyNumberFormat="1" applyProtection="1"/>
    <xf numFmtId="0" fontId="0" fillId="0" borderId="0" xfId="0" applyAlignment="1" applyProtection="1">
      <alignment horizontal="center" wrapText="1"/>
    </xf>
    <xf numFmtId="169" fontId="0" fillId="0" borderId="0" xfId="0" applyNumberFormat="1" applyProtection="1"/>
    <xf numFmtId="0" fontId="5" fillId="0" borderId="4" xfId="0" applyFont="1" applyBorder="1" applyProtection="1"/>
    <xf numFmtId="0" fontId="5" fillId="0" borderId="3" xfId="0" applyFont="1" applyBorder="1" applyProtection="1"/>
    <xf numFmtId="164" fontId="0" fillId="0" borderId="14" xfId="0" applyNumberFormat="1" applyBorder="1" applyProtection="1"/>
    <xf numFmtId="164" fontId="0" fillId="0" borderId="8" xfId="0" applyNumberFormat="1" applyBorder="1" applyProtection="1"/>
    <xf numFmtId="166" fontId="0" fillId="0" borderId="0" xfId="0" applyNumberFormat="1" applyProtection="1"/>
    <xf numFmtId="0" fontId="5" fillId="0" borderId="4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0" fontId="5" fillId="0" borderId="3" xfId="0" applyFont="1" applyBorder="1" applyAlignment="1" applyProtection="1">
      <alignment horizontal="center" vertical="center" wrapText="1"/>
    </xf>
    <xf numFmtId="0" fontId="4" fillId="0" borderId="21" xfId="0" applyFont="1" applyBorder="1" applyAlignment="1" applyProtection="1">
      <alignment horizontal="center"/>
    </xf>
    <xf numFmtId="10" fontId="0" fillId="0" borderId="0" xfId="0" applyNumberFormat="1" applyAlignment="1" applyProtection="1">
      <alignment horizontal="center"/>
    </xf>
    <xf numFmtId="43" fontId="0" fillId="0" borderId="13" xfId="0" applyNumberFormat="1" applyBorder="1" applyProtection="1"/>
    <xf numFmtId="0" fontId="0" fillId="0" borderId="12" xfId="0" applyBorder="1" applyProtection="1"/>
    <xf numFmtId="4" fontId="0" fillId="0" borderId="13" xfId="0" applyNumberFormat="1" applyBorder="1" applyProtection="1"/>
    <xf numFmtId="0" fontId="4" fillId="0" borderId="17" xfId="0" applyFont="1" applyBorder="1" applyAlignment="1" applyProtection="1">
      <alignment horizontal="center"/>
    </xf>
    <xf numFmtId="171" fontId="0" fillId="0" borderId="0" xfId="0" applyNumberFormat="1" applyProtection="1"/>
    <xf numFmtId="170" fontId="0" fillId="0" borderId="0" xfId="2" applyNumberFormat="1" applyFont="1" applyProtection="1"/>
    <xf numFmtId="0" fontId="3" fillId="0" borderId="1" xfId="2" applyNumberFormat="1" applyFont="1" applyBorder="1" applyAlignment="1" applyProtection="1">
      <alignment horizontal="right"/>
      <protection locked="0"/>
    </xf>
    <xf numFmtId="167" fontId="3" fillId="0" borderId="5" xfId="2" applyNumberFormat="1" applyFont="1" applyBorder="1" applyAlignment="1" applyProtection="1">
      <alignment horizontal="right"/>
      <protection locked="0"/>
    </xf>
    <xf numFmtId="3" fontId="3" fillId="0" borderId="11" xfId="1" applyNumberFormat="1" applyFont="1" applyBorder="1" applyAlignment="1" applyProtection="1">
      <alignment horizontal="right"/>
      <protection locked="0"/>
    </xf>
    <xf numFmtId="168" fontId="3" fillId="0" borderId="11" xfId="2" applyNumberFormat="1" applyFont="1" applyBorder="1" applyAlignment="1" applyProtection="1">
      <alignment horizontal="right"/>
      <protection locked="0"/>
    </xf>
    <xf numFmtId="165" fontId="3" fillId="0" borderId="11" xfId="6" applyNumberFormat="1" applyFont="1" applyBorder="1" applyAlignment="1" applyProtection="1">
      <alignment horizontal="right"/>
      <protection locked="0"/>
    </xf>
    <xf numFmtId="167" fontId="3" fillId="0" borderId="6" xfId="2" applyNumberFormat="1" applyFont="1" applyBorder="1" applyAlignment="1" applyProtection="1">
      <alignment horizontal="right"/>
      <protection locked="0"/>
    </xf>
    <xf numFmtId="0" fontId="0" fillId="8" borderId="0" xfId="0" applyFill="1" applyProtection="1"/>
    <xf numFmtId="43" fontId="4" fillId="5" borderId="16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Protection="1"/>
    <xf numFmtId="0" fontId="0" fillId="0" borderId="22" xfId="0" applyBorder="1" applyProtection="1"/>
    <xf numFmtId="0" fontId="0" fillId="0" borderId="23" xfId="0" applyBorder="1" applyProtection="1"/>
    <xf numFmtId="0" fontId="9" fillId="0" borderId="0" xfId="0" applyFont="1" applyAlignment="1" applyProtection="1">
      <alignment horizontal="center"/>
    </xf>
    <xf numFmtId="0" fontId="9" fillId="0" borderId="23" xfId="0" applyFont="1" applyBorder="1" applyProtection="1"/>
    <xf numFmtId="0" fontId="3" fillId="0" borderId="1" xfId="2" applyNumberFormat="1" applyFont="1" applyBorder="1" applyAlignment="1" applyProtection="1">
      <alignment horizontal="left"/>
      <protection locked="0"/>
    </xf>
    <xf numFmtId="43" fontId="4" fillId="5" borderId="16" xfId="1" applyNumberFormat="1" applyFont="1" applyFill="1" applyBorder="1" applyAlignment="1" applyProtection="1">
      <alignment horizontal="center"/>
    </xf>
    <xf numFmtId="9" fontId="0" fillId="0" borderId="24" xfId="0" applyNumberFormat="1" applyBorder="1" applyAlignment="1">
      <alignment horizontal="center" vertical="center" wrapText="1"/>
    </xf>
    <xf numFmtId="0" fontId="0" fillId="0" borderId="10" xfId="0" applyBorder="1"/>
    <xf numFmtId="0" fontId="5" fillId="0" borderId="0" xfId="0" applyFont="1" applyBorder="1" applyAlignment="1" applyProtection="1">
      <alignment horizontal="center" vertical="center" wrapText="1"/>
    </xf>
    <xf numFmtId="0" fontId="5" fillId="0" borderId="23" xfId="0" applyFont="1" applyBorder="1" applyProtection="1"/>
    <xf numFmtId="0" fontId="9" fillId="0" borderId="23" xfId="0" applyFont="1" applyBorder="1" applyAlignment="1" applyProtection="1">
      <alignment horizontal="center"/>
    </xf>
    <xf numFmtId="9" fontId="0" fillId="0" borderId="25" xfId="0" applyNumberForma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0" fillId="0" borderId="27" xfId="0" applyBorder="1"/>
    <xf numFmtId="0" fontId="0" fillId="0" borderId="28" xfId="0" applyBorder="1"/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18" xfId="0" applyBorder="1"/>
    <xf numFmtId="9" fontId="0" fillId="0" borderId="31" xfId="0" applyNumberFormat="1" applyBorder="1" applyAlignment="1">
      <alignment horizontal="center" vertical="center" wrapText="1"/>
    </xf>
    <xf numFmtId="0" fontId="0" fillId="0" borderId="16" xfId="0" applyBorder="1"/>
    <xf numFmtId="0" fontId="0" fillId="0" borderId="32" xfId="0" applyBorder="1"/>
    <xf numFmtId="0" fontId="0" fillId="0" borderId="33" xfId="0" applyBorder="1"/>
    <xf numFmtId="10" fontId="5" fillId="0" borderId="33" xfId="2" applyNumberFormat="1" applyFont="1" applyBorder="1"/>
    <xf numFmtId="0" fontId="0" fillId="0" borderId="34" xfId="0" applyBorder="1"/>
    <xf numFmtId="0" fontId="0" fillId="0" borderId="0" xfId="0" applyFill="1" applyProtection="1"/>
    <xf numFmtId="0" fontId="8" fillId="0" borderId="0" xfId="0" applyFont="1" applyProtection="1"/>
    <xf numFmtId="174" fontId="3" fillId="0" borderId="1" xfId="2" applyNumberFormat="1" applyFont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left"/>
    </xf>
    <xf numFmtId="167" fontId="3" fillId="0" borderId="11" xfId="2" applyNumberFormat="1" applyFont="1" applyBorder="1" applyAlignment="1" applyProtection="1">
      <alignment horizontal="right"/>
      <protection locked="0"/>
    </xf>
    <xf numFmtId="14" fontId="3" fillId="0" borderId="6" xfId="2" applyNumberFormat="1" applyFont="1" applyBorder="1" applyAlignment="1" applyProtection="1">
      <alignment horizontal="right"/>
      <protection locked="0"/>
    </xf>
    <xf numFmtId="0" fontId="0" fillId="0" borderId="0" xfId="0" applyProtection="1"/>
    <xf numFmtId="0" fontId="0" fillId="2" borderId="4" xfId="0" applyFill="1" applyBorder="1" applyAlignment="1" applyProtection="1">
      <alignment horizontal="left"/>
    </xf>
    <xf numFmtId="0" fontId="0" fillId="0" borderId="0" xfId="0" applyNumberFormat="1" applyProtection="1"/>
    <xf numFmtId="175" fontId="3" fillId="0" borderId="5" xfId="1" applyNumberFormat="1" applyFont="1" applyBorder="1" applyAlignment="1" applyProtection="1">
      <alignment horizontal="right"/>
      <protection locked="0"/>
    </xf>
    <xf numFmtId="0" fontId="0" fillId="0" borderId="0" xfId="0" applyAlignment="1" applyProtection="1">
      <alignment horizontal="left" wrapText="1"/>
    </xf>
    <xf numFmtId="0" fontId="2" fillId="0" borderId="19" xfId="0" applyFont="1" applyBorder="1" applyAlignment="1" applyProtection="1">
      <alignment horizontal="center"/>
    </xf>
    <xf numFmtId="0" fontId="2" fillId="0" borderId="20" xfId="0" applyFont="1" applyBorder="1" applyAlignment="1" applyProtection="1">
      <alignment horizontal="center"/>
    </xf>
    <xf numFmtId="0" fontId="5" fillId="0" borderId="15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</cellXfs>
  <cellStyles count="13">
    <cellStyle name="Moeda" xfId="6" builtinId="4"/>
    <cellStyle name="Moeda 2" xfId="10"/>
    <cellStyle name="Normal" xfId="0" builtinId="0"/>
    <cellStyle name="Normal 3" xfId="3"/>
    <cellStyle name="Porcentagem" xfId="2" builtinId="5"/>
    <cellStyle name="Porcentagem 3" xfId="4"/>
    <cellStyle name="Separador de milhares 2 2" xfId="5"/>
    <cellStyle name="Separador de milhares 2 2 2" xfId="12"/>
    <cellStyle name="Separador de milhares 2 2 3" xfId="9"/>
    <cellStyle name="Vírgula" xfId="1" builtinId="3"/>
    <cellStyle name="Vírgula 2" xfId="7"/>
    <cellStyle name="Vírgula 2 2" xfId="11"/>
    <cellStyle name="Vírgula 3" xfId="8"/>
  </cellStyles>
  <dxfs count="39"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"/>
  <dimension ref="A1:AR147"/>
  <sheetViews>
    <sheetView tabSelected="1" zoomScale="85" zoomScaleNormal="85" workbookViewId="0">
      <selection activeCell="A2" sqref="A2"/>
    </sheetView>
  </sheetViews>
  <sheetFormatPr defaultRowHeight="14.4" x14ac:dyDescent="0.3"/>
  <cols>
    <col min="1" max="1" width="18.109375" style="16" customWidth="1"/>
    <col min="2" max="2" width="18.5546875" style="16" customWidth="1"/>
    <col min="3" max="3" width="10" style="16" customWidth="1"/>
    <col min="4" max="4" width="8.88671875" style="16" customWidth="1"/>
    <col min="5" max="5" width="10.6640625" style="16" customWidth="1"/>
    <col min="6" max="6" width="12.21875" style="16" customWidth="1"/>
    <col min="7" max="7" width="10.6640625" style="16" customWidth="1"/>
    <col min="8" max="8" width="5.77734375" style="16" customWidth="1"/>
    <col min="9" max="9" width="8.77734375" style="16" customWidth="1"/>
    <col min="10" max="11" width="13.44140625" style="16" customWidth="1"/>
    <col min="12" max="12" width="4.6640625" style="16" customWidth="1"/>
    <col min="13" max="13" width="5" style="16" customWidth="1"/>
    <col min="14" max="18" width="13.5546875" style="16" customWidth="1"/>
    <col min="19" max="19" width="4.44140625" style="16" customWidth="1"/>
    <col min="20" max="21" width="21.5546875" style="16" customWidth="1"/>
    <col min="22" max="22" width="4.44140625" style="16" customWidth="1"/>
    <col min="23" max="24" width="21.5546875" style="16" customWidth="1"/>
    <col min="25" max="25" width="11.77734375" style="16" bestFit="1" customWidth="1"/>
    <col min="26" max="26" width="8.88671875" style="16"/>
    <col min="27" max="27" width="12.44140625" style="16" bestFit="1" customWidth="1"/>
    <col min="28" max="28" width="12.44140625" style="16" customWidth="1"/>
    <col min="29" max="29" width="21.5546875" style="16" customWidth="1"/>
    <col min="30" max="30" width="3.44140625" style="16" customWidth="1"/>
    <col min="31" max="31" width="10.44140625" style="16" bestFit="1" customWidth="1"/>
    <col min="32" max="32" width="2.88671875" style="16" customWidth="1"/>
    <col min="33" max="16384" width="8.88671875" style="16"/>
  </cols>
  <sheetData>
    <row r="1" spans="1:9" x14ac:dyDescent="0.3">
      <c r="A1" s="78" t="s">
        <v>146</v>
      </c>
      <c r="B1" s="17"/>
      <c r="C1" s="17"/>
    </row>
    <row r="2" spans="1:9" x14ac:dyDescent="0.3">
      <c r="B2" s="17"/>
      <c r="C2" s="17"/>
      <c r="H2" s="17" t="s">
        <v>71</v>
      </c>
    </row>
    <row r="3" spans="1:9" ht="15" thickBot="1" x14ac:dyDescent="0.35">
      <c r="A3" s="17" t="s">
        <v>68</v>
      </c>
      <c r="C3" s="17"/>
      <c r="H3" s="16" t="s">
        <v>72</v>
      </c>
    </row>
    <row r="4" spans="1:9" ht="15" thickBot="1" x14ac:dyDescent="0.35">
      <c r="A4" s="18" t="s">
        <v>0</v>
      </c>
      <c r="B4" s="56"/>
      <c r="C4" s="17"/>
      <c r="H4" s="19"/>
      <c r="I4" s="16" t="s">
        <v>83</v>
      </c>
    </row>
    <row r="5" spans="1:9" ht="15" thickBot="1" x14ac:dyDescent="0.35">
      <c r="A5" s="18" t="s">
        <v>67</v>
      </c>
      <c r="B5" s="79"/>
      <c r="C5" s="17"/>
      <c r="H5" s="21"/>
      <c r="I5" s="16" t="s">
        <v>134</v>
      </c>
    </row>
    <row r="6" spans="1:9" ht="15" thickBot="1" x14ac:dyDescent="0.35">
      <c r="A6" s="18" t="s">
        <v>1</v>
      </c>
      <c r="B6" s="56"/>
      <c r="H6" s="22"/>
      <c r="I6" s="16" t="s">
        <v>84</v>
      </c>
    </row>
    <row r="7" spans="1:9" ht="15" thickBot="1" x14ac:dyDescent="0.35">
      <c r="A7" s="20" t="s">
        <v>94</v>
      </c>
      <c r="B7" s="43"/>
      <c r="H7" s="49"/>
      <c r="I7" s="16" t="s">
        <v>86</v>
      </c>
    </row>
    <row r="8" spans="1:9" ht="15" thickBot="1" x14ac:dyDescent="0.35">
      <c r="A8" s="18" t="s">
        <v>66</v>
      </c>
      <c r="B8" s="43"/>
      <c r="H8" s="53"/>
      <c r="I8" s="53"/>
    </row>
    <row r="9" spans="1:9" ht="15" thickBot="1" x14ac:dyDescent="0.35">
      <c r="G9" s="52"/>
      <c r="H9" s="61" t="s">
        <v>89</v>
      </c>
      <c r="I9" s="53"/>
    </row>
    <row r="10" spans="1:9" ht="15.6" thickTop="1" thickBot="1" x14ac:dyDescent="0.35">
      <c r="A10" s="17" t="s">
        <v>69</v>
      </c>
      <c r="G10" s="52"/>
      <c r="H10" s="54">
        <f>IF(SUM(AB24:AB42)&gt;0,SUM(AB24:AB42),"Ok")</f>
        <v>14</v>
      </c>
      <c r="I10" s="51" t="str">
        <f>IF(H10="Ok", "",IF(H10&gt;0, "itens inconsistentes.",""))</f>
        <v>itens inconsistentes.</v>
      </c>
    </row>
    <row r="11" spans="1:9" ht="15" thickBot="1" x14ac:dyDescent="0.35">
      <c r="A11" s="80" t="s">
        <v>47</v>
      </c>
      <c r="B11" s="44"/>
      <c r="C11" s="16" t="s">
        <v>57</v>
      </c>
      <c r="G11" s="52"/>
      <c r="H11" s="62">
        <f>IF(H10="Ok", "",IF(H10&gt;0,VLOOKUP(1,$Z$24:$AC$42,2,0),""))</f>
        <v>8</v>
      </c>
      <c r="I11" s="55" t="str">
        <f>IF(H10="Ok", "",IF(H10&gt;0,VLOOKUP(1,$Z$24:$AC$42,4,0),"As críticas de preenchimento não encontraram inconsistências"))</f>
        <v>variável(is) deve(m) ser preenchida(s).</v>
      </c>
    </row>
    <row r="12" spans="1:9" ht="15" thickBot="1" x14ac:dyDescent="0.35">
      <c r="A12" s="80" t="s">
        <v>48</v>
      </c>
      <c r="B12" s="45"/>
      <c r="C12" s="16" t="s">
        <v>3</v>
      </c>
      <c r="G12" s="52"/>
      <c r="H12" s="61" t="s">
        <v>91</v>
      </c>
      <c r="I12" s="53"/>
    </row>
    <row r="13" spans="1:9" ht="15" thickBot="1" x14ac:dyDescent="0.35">
      <c r="A13" s="80" t="s">
        <v>49</v>
      </c>
      <c r="B13" s="46"/>
      <c r="C13" s="16" t="s">
        <v>53</v>
      </c>
      <c r="G13" s="52"/>
      <c r="H13" s="54" t="e">
        <f ca="1">IF(SUM(AB83:AB111)&gt;0,SUM(AB83:AB111),"Ok")</f>
        <v>#REF!</v>
      </c>
      <c r="I13" s="51" t="e">
        <f ca="1">IF(H13="Ok", "",IF(H13&gt;0, "itens inconsistentes.",""))</f>
        <v>#REF!</v>
      </c>
    </row>
    <row r="14" spans="1:9" ht="15" thickBot="1" x14ac:dyDescent="0.35">
      <c r="A14" s="80" t="s">
        <v>50</v>
      </c>
      <c r="B14" s="46"/>
      <c r="C14" s="16" t="s">
        <v>55</v>
      </c>
      <c r="G14" s="52"/>
      <c r="H14" s="62" t="e">
        <f ca="1">IF(H13="Ok", "",IF(H13&gt;0,VLOOKUP(1,$AA$83:$AC$111,2,0),""))</f>
        <v>#REF!</v>
      </c>
      <c r="I14" s="55" t="e">
        <f ca="1">IF(H13="Ok", "",IF(H13&gt;0,VLOOKUP(1,$AA$83:$AC$111,3,0),"As críticas de preenchimento não encontraram inconsistências"))</f>
        <v>#REF!</v>
      </c>
    </row>
    <row r="15" spans="1:9" ht="15" thickBot="1" x14ac:dyDescent="0.35">
      <c r="A15" s="80" t="s">
        <v>51</v>
      </c>
      <c r="B15" s="47"/>
      <c r="C15" s="16" t="s">
        <v>116</v>
      </c>
    </row>
    <row r="16" spans="1:9" ht="15.75" customHeight="1" thickBot="1" x14ac:dyDescent="0.35">
      <c r="A16" s="80" t="s">
        <v>52</v>
      </c>
      <c r="B16" s="47"/>
      <c r="C16" s="16" t="s">
        <v>54</v>
      </c>
    </row>
    <row r="17" spans="1:29" ht="15.75" customHeight="1" thickBot="1" x14ac:dyDescent="0.35">
      <c r="A17" s="80" t="s">
        <v>58</v>
      </c>
      <c r="B17" s="81"/>
    </row>
    <row r="18" spans="1:29" ht="15.75" customHeight="1" thickBot="1" x14ac:dyDescent="0.35">
      <c r="A18" s="80" t="s">
        <v>141</v>
      </c>
      <c r="B18" s="48"/>
    </row>
    <row r="19" spans="1:29" ht="15.75" customHeight="1" x14ac:dyDescent="0.3"/>
    <row r="20" spans="1:29" ht="15" thickBot="1" x14ac:dyDescent="0.35">
      <c r="A20" s="17" t="s">
        <v>143</v>
      </c>
      <c r="N20" s="87" t="s">
        <v>133</v>
      </c>
      <c r="O20" s="87"/>
      <c r="P20" s="87"/>
      <c r="Q20" s="87"/>
      <c r="R20" s="87"/>
    </row>
    <row r="21" spans="1:29" ht="15" thickBot="1" x14ac:dyDescent="0.35">
      <c r="A21" s="84" t="s">
        <v>144</v>
      </c>
      <c r="B21" s="86"/>
      <c r="N21" s="87"/>
      <c r="O21" s="87"/>
      <c r="P21" s="87"/>
      <c r="Q21" s="87"/>
      <c r="R21" s="87"/>
    </row>
    <row r="22" spans="1:29" ht="15" thickBot="1" x14ac:dyDescent="0.35">
      <c r="A22" s="84" t="s">
        <v>145</v>
      </c>
      <c r="B22" s="82"/>
      <c r="C22" s="85"/>
      <c r="R22" s="23"/>
      <c r="U22" s="24"/>
    </row>
    <row r="23" spans="1:29" ht="15" thickBot="1" x14ac:dyDescent="0.35">
      <c r="N23" s="87" t="s">
        <v>85</v>
      </c>
      <c r="O23" s="87"/>
      <c r="P23" s="87"/>
      <c r="Q23" s="87"/>
      <c r="R23" s="87"/>
      <c r="V23" s="25"/>
    </row>
    <row r="24" spans="1:29" ht="15" thickBot="1" x14ac:dyDescent="0.35">
      <c r="A24" s="83"/>
      <c r="N24" s="87"/>
      <c r="O24" s="87"/>
      <c r="P24" s="87"/>
      <c r="Q24" s="87"/>
      <c r="R24" s="87"/>
      <c r="T24" s="26" t="s">
        <v>2</v>
      </c>
      <c r="U24" s="27" t="s">
        <v>2</v>
      </c>
      <c r="V24" s="17"/>
      <c r="W24" s="26" t="s">
        <v>2</v>
      </c>
      <c r="X24" s="27" t="s">
        <v>2</v>
      </c>
      <c r="Z24" s="16">
        <f t="shared" ref="Z24:Z42" si="0">IF(AA24&gt;0,1,0)</f>
        <v>0</v>
      </c>
      <c r="AA24" s="16">
        <v>0</v>
      </c>
      <c r="AB24" s="16">
        <f t="shared" ref="AB24:AB28" si="1">IF(B4&lt;&gt;"",0,1)</f>
        <v>1</v>
      </c>
      <c r="AC24" s="16" t="s">
        <v>135</v>
      </c>
    </row>
    <row r="25" spans="1:29" ht="15" thickBot="1" x14ac:dyDescent="0.35">
      <c r="T25" s="28" t="e">
        <f ca="1">SUM(OFFSET(T$28,0,0,$B$17))</f>
        <v>#REF!</v>
      </c>
      <c r="U25" s="29" t="e">
        <f ca="1">SUM(OFFSET(U$28,0,0,$B$17))</f>
        <v>#REF!</v>
      </c>
      <c r="W25" s="28" t="e">
        <f ca="1">SUM(OFFSET(W$28,0,0,$B$11))</f>
        <v>#REF!</v>
      </c>
      <c r="X25" s="29" t="e">
        <f ca="1">SUM(OFFSET(X$28,0,0,$B$11))</f>
        <v>#REF!</v>
      </c>
      <c r="Z25" s="16">
        <f t="shared" si="0"/>
        <v>0</v>
      </c>
      <c r="AA25" s="16">
        <v>0</v>
      </c>
      <c r="AB25" s="16">
        <f t="shared" si="1"/>
        <v>1</v>
      </c>
      <c r="AC25" s="16" t="s">
        <v>135</v>
      </c>
    </row>
    <row r="26" spans="1:29" ht="14.4" customHeight="1" thickBot="1" x14ac:dyDescent="0.35">
      <c r="A26" s="88" t="s">
        <v>9</v>
      </c>
      <c r="B26" s="89"/>
      <c r="N26" s="17" t="s">
        <v>82</v>
      </c>
      <c r="X26" s="30"/>
      <c r="Z26" s="16">
        <f t="shared" si="0"/>
        <v>0</v>
      </c>
      <c r="AA26" s="16">
        <v>0</v>
      </c>
      <c r="AB26" s="16">
        <f t="shared" si="1"/>
        <v>1</v>
      </c>
      <c r="AC26" s="16" t="s">
        <v>135</v>
      </c>
    </row>
    <row r="27" spans="1:29" ht="57.6" customHeight="1" thickBot="1" x14ac:dyDescent="0.35">
      <c r="A27" s="31" t="s">
        <v>10</v>
      </c>
      <c r="B27" s="31" t="s">
        <v>75</v>
      </c>
      <c r="C27" s="31" t="s">
        <v>142</v>
      </c>
      <c r="D27" s="31" t="s">
        <v>11</v>
      </c>
      <c r="E27" s="32" t="s">
        <v>106</v>
      </c>
      <c r="F27" s="32" t="s">
        <v>105</v>
      </c>
      <c r="G27" s="60"/>
      <c r="H27" s="33"/>
      <c r="I27" s="31" t="s">
        <v>70</v>
      </c>
      <c r="J27" s="31" t="s">
        <v>76</v>
      </c>
      <c r="K27" s="32" t="s">
        <v>12</v>
      </c>
      <c r="L27" s="24"/>
      <c r="N27" s="32" t="s">
        <v>93</v>
      </c>
      <c r="O27" s="32" t="s">
        <v>78</v>
      </c>
      <c r="P27" s="32" t="s">
        <v>79</v>
      </c>
      <c r="Q27" s="32" t="s">
        <v>80</v>
      </c>
      <c r="R27" s="32" t="s">
        <v>81</v>
      </c>
      <c r="T27" s="31" t="s">
        <v>73</v>
      </c>
      <c r="U27" s="34" t="s">
        <v>74</v>
      </c>
      <c r="V27" s="17"/>
      <c r="W27" s="31" t="s">
        <v>13</v>
      </c>
      <c r="X27" s="34" t="s">
        <v>77</v>
      </c>
      <c r="Z27" s="16">
        <f t="shared" si="0"/>
        <v>0</v>
      </c>
      <c r="AA27" s="16">
        <v>0</v>
      </c>
      <c r="AB27" s="16">
        <f t="shared" si="1"/>
        <v>1</v>
      </c>
      <c r="AC27" s="16" t="s">
        <v>135</v>
      </c>
    </row>
    <row r="28" spans="1:29" x14ac:dyDescent="0.3">
      <c r="A28" s="35">
        <f>1</f>
        <v>1</v>
      </c>
      <c r="B28" s="14"/>
      <c r="C28" s="15"/>
      <c r="D28" s="12">
        <f>IF(A28&lt;=$B$11,B28*(1+$B$13),0)</f>
        <v>0</v>
      </c>
      <c r="E28" s="13">
        <f t="shared" ref="E28:E59" si="2">IF(A28&lt;=$B$11,D28*C28/IF(A28&lt;=$B$17,A28,$B$17),0)</f>
        <v>0</v>
      </c>
      <c r="F28" s="13">
        <f t="shared" ref="F28:F59" si="3">IF(A28&lt;=$B$11,IF(OR($B$7="PM",$B$7="PP",$B$6="Popular"),MAX(50%,E28),E28),0)</f>
        <v>0</v>
      </c>
      <c r="G28" s="13"/>
      <c r="I28" s="15"/>
      <c r="J28" s="15"/>
      <c r="K28" s="36">
        <f t="shared" ref="K28:K59" si="4">J28+I28+B28</f>
        <v>0</v>
      </c>
      <c r="L28" s="36"/>
      <c r="M28" s="16">
        <v>1</v>
      </c>
      <c r="N28" s="50"/>
      <c r="O28" s="50"/>
      <c r="P28" s="50"/>
      <c r="Q28" s="50"/>
      <c r="R28" s="50"/>
      <c r="T28" s="37">
        <f t="shared" ref="T28:T59" si="5">I28*$B$12</f>
        <v>0</v>
      </c>
      <c r="U28" s="38">
        <f t="shared" ref="U28:U59" si="6">$T28*(B$14+1)^-($A28-1)</f>
        <v>0</v>
      </c>
      <c r="W28" s="39">
        <f t="shared" ref="W28:W59" si="7">N28+O28+P28+Q28+R28</f>
        <v>0</v>
      </c>
      <c r="X28" s="38">
        <f t="shared" ref="X28:X59" si="8">$W28*(B$14+1)^-($A28-1)</f>
        <v>0</v>
      </c>
      <c r="Z28" s="16">
        <f t="shared" si="0"/>
        <v>0</v>
      </c>
      <c r="AA28" s="16">
        <v>0</v>
      </c>
      <c r="AB28" s="16">
        <f t="shared" si="1"/>
        <v>1</v>
      </c>
      <c r="AC28" s="16" t="s">
        <v>135</v>
      </c>
    </row>
    <row r="29" spans="1:29" x14ac:dyDescent="0.3">
      <c r="A29" s="40">
        <v>2</v>
      </c>
      <c r="B29" s="14"/>
      <c r="C29" s="15"/>
      <c r="D29" s="12">
        <f t="shared" ref="D29:D60" si="9">IF(A29&lt;=$B$11,(D28 + B29)*(1+$B$13),0)</f>
        <v>0</v>
      </c>
      <c r="E29" s="13">
        <f t="shared" si="2"/>
        <v>0</v>
      </c>
      <c r="F29" s="13">
        <f t="shared" si="3"/>
        <v>0</v>
      </c>
      <c r="G29" s="13"/>
      <c r="I29" s="15"/>
      <c r="J29" s="15"/>
      <c r="K29" s="36">
        <f t="shared" si="4"/>
        <v>0</v>
      </c>
      <c r="L29" s="36"/>
      <c r="M29" s="16">
        <v>2</v>
      </c>
      <c r="N29" s="57"/>
      <c r="O29" s="50"/>
      <c r="P29" s="50"/>
      <c r="Q29" s="50"/>
      <c r="R29" s="50"/>
      <c r="T29" s="37">
        <f t="shared" si="5"/>
        <v>0</v>
      </c>
      <c r="U29" s="38">
        <f t="shared" si="6"/>
        <v>0</v>
      </c>
      <c r="W29" s="39">
        <f t="shared" si="7"/>
        <v>0</v>
      </c>
      <c r="X29" s="38">
        <f t="shared" si="8"/>
        <v>0</v>
      </c>
      <c r="Z29" s="16">
        <f t="shared" si="0"/>
        <v>0</v>
      </c>
      <c r="AA29" s="16">
        <v>0</v>
      </c>
      <c r="AB29" s="16">
        <f t="shared" ref="AB29:AB36" si="10">IF(B11&lt;&gt;"",0,1)</f>
        <v>1</v>
      </c>
      <c r="AC29" s="16" t="s">
        <v>136</v>
      </c>
    </row>
    <row r="30" spans="1:29" x14ac:dyDescent="0.3">
      <c r="A30" s="40">
        <v>3</v>
      </c>
      <c r="B30" s="14"/>
      <c r="C30" s="15"/>
      <c r="D30" s="12">
        <f t="shared" si="9"/>
        <v>0</v>
      </c>
      <c r="E30" s="13">
        <f t="shared" si="2"/>
        <v>0</v>
      </c>
      <c r="F30" s="13">
        <f t="shared" si="3"/>
        <v>0</v>
      </c>
      <c r="G30" s="13"/>
      <c r="I30" s="15"/>
      <c r="J30" s="15"/>
      <c r="K30" s="36">
        <f t="shared" si="4"/>
        <v>0</v>
      </c>
      <c r="L30" s="36"/>
      <c r="M30" s="16">
        <v>3</v>
      </c>
      <c r="N30" s="57"/>
      <c r="O30" s="50"/>
      <c r="P30" s="50"/>
      <c r="Q30" s="50"/>
      <c r="R30" s="50"/>
      <c r="S30" s="41"/>
      <c r="T30" s="37">
        <f t="shared" si="5"/>
        <v>0</v>
      </c>
      <c r="U30" s="38">
        <f t="shared" si="6"/>
        <v>0</v>
      </c>
      <c r="W30" s="39">
        <f t="shared" si="7"/>
        <v>0</v>
      </c>
      <c r="X30" s="38">
        <f t="shared" si="8"/>
        <v>0</v>
      </c>
      <c r="Z30" s="16">
        <f t="shared" si="0"/>
        <v>0</v>
      </c>
      <c r="AA30" s="16">
        <v>0</v>
      </c>
      <c r="AB30" s="16">
        <f t="shared" si="10"/>
        <v>1</v>
      </c>
      <c r="AC30" s="16" t="s">
        <v>136</v>
      </c>
    </row>
    <row r="31" spans="1:29" x14ac:dyDescent="0.3">
      <c r="A31" s="40">
        <v>4</v>
      </c>
      <c r="B31" s="14"/>
      <c r="C31" s="15"/>
      <c r="D31" s="12">
        <f t="shared" si="9"/>
        <v>0</v>
      </c>
      <c r="E31" s="13">
        <f t="shared" si="2"/>
        <v>0</v>
      </c>
      <c r="F31" s="13">
        <f t="shared" si="3"/>
        <v>0</v>
      </c>
      <c r="G31" s="13"/>
      <c r="I31" s="15"/>
      <c r="J31" s="15"/>
      <c r="K31" s="36">
        <f t="shared" si="4"/>
        <v>0</v>
      </c>
      <c r="L31" s="36"/>
      <c r="M31" s="16">
        <v>4</v>
      </c>
      <c r="N31" s="57"/>
      <c r="O31" s="50"/>
      <c r="P31" s="50"/>
      <c r="Q31" s="50"/>
      <c r="R31" s="50"/>
      <c r="T31" s="37">
        <f t="shared" si="5"/>
        <v>0</v>
      </c>
      <c r="U31" s="38">
        <f t="shared" si="6"/>
        <v>0</v>
      </c>
      <c r="W31" s="39">
        <f t="shared" si="7"/>
        <v>0</v>
      </c>
      <c r="X31" s="38">
        <f t="shared" si="8"/>
        <v>0</v>
      </c>
      <c r="Z31" s="16">
        <f t="shared" si="0"/>
        <v>0</v>
      </c>
      <c r="AA31" s="16">
        <v>0</v>
      </c>
      <c r="AB31" s="16">
        <f t="shared" si="10"/>
        <v>1</v>
      </c>
      <c r="AC31" s="16" t="s">
        <v>136</v>
      </c>
    </row>
    <row r="32" spans="1:29" x14ac:dyDescent="0.3">
      <c r="A32" s="40">
        <v>5</v>
      </c>
      <c r="B32" s="14"/>
      <c r="C32" s="15"/>
      <c r="D32" s="12">
        <f t="shared" si="9"/>
        <v>0</v>
      </c>
      <c r="E32" s="13">
        <f t="shared" si="2"/>
        <v>0</v>
      </c>
      <c r="F32" s="13">
        <f t="shared" si="3"/>
        <v>0</v>
      </c>
      <c r="G32" s="13"/>
      <c r="I32" s="15"/>
      <c r="J32" s="15"/>
      <c r="K32" s="36">
        <f t="shared" si="4"/>
        <v>0</v>
      </c>
      <c r="L32" s="36"/>
      <c r="M32" s="16">
        <v>5</v>
      </c>
      <c r="N32" s="57"/>
      <c r="O32" s="50"/>
      <c r="P32" s="50"/>
      <c r="Q32" s="50"/>
      <c r="R32" s="50"/>
      <c r="S32" s="42"/>
      <c r="T32" s="37">
        <f t="shared" si="5"/>
        <v>0</v>
      </c>
      <c r="U32" s="38">
        <f t="shared" si="6"/>
        <v>0</v>
      </c>
      <c r="W32" s="39">
        <f t="shared" si="7"/>
        <v>0</v>
      </c>
      <c r="X32" s="38">
        <f t="shared" si="8"/>
        <v>0</v>
      </c>
      <c r="Z32" s="16">
        <f t="shared" si="0"/>
        <v>0</v>
      </c>
      <c r="AA32" s="16">
        <v>0</v>
      </c>
      <c r="AB32" s="16">
        <f t="shared" si="10"/>
        <v>1</v>
      </c>
      <c r="AC32" s="16" t="s">
        <v>136</v>
      </c>
    </row>
    <row r="33" spans="1:29" x14ac:dyDescent="0.3">
      <c r="A33" s="40">
        <v>6</v>
      </c>
      <c r="B33" s="14"/>
      <c r="C33" s="15"/>
      <c r="D33" s="12">
        <f t="shared" si="9"/>
        <v>0</v>
      </c>
      <c r="E33" s="13">
        <f t="shared" si="2"/>
        <v>0</v>
      </c>
      <c r="F33" s="13">
        <f t="shared" si="3"/>
        <v>0</v>
      </c>
      <c r="G33" s="13"/>
      <c r="I33" s="15"/>
      <c r="J33" s="15"/>
      <c r="K33" s="36">
        <f t="shared" si="4"/>
        <v>0</v>
      </c>
      <c r="L33" s="36"/>
      <c r="M33" s="16">
        <v>6</v>
      </c>
      <c r="N33" s="57"/>
      <c r="O33" s="50"/>
      <c r="P33" s="50"/>
      <c r="Q33" s="50"/>
      <c r="R33" s="50"/>
      <c r="T33" s="37">
        <f t="shared" si="5"/>
        <v>0</v>
      </c>
      <c r="U33" s="38">
        <f t="shared" si="6"/>
        <v>0</v>
      </c>
      <c r="W33" s="39">
        <f t="shared" si="7"/>
        <v>0</v>
      </c>
      <c r="X33" s="38">
        <f t="shared" si="8"/>
        <v>0</v>
      </c>
      <c r="Z33" s="16">
        <f t="shared" si="0"/>
        <v>0</v>
      </c>
      <c r="AA33" s="16">
        <v>0</v>
      </c>
      <c r="AB33" s="16">
        <f t="shared" si="10"/>
        <v>1</v>
      </c>
      <c r="AC33" s="16" t="s">
        <v>136</v>
      </c>
    </row>
    <row r="34" spans="1:29" x14ac:dyDescent="0.3">
      <c r="A34" s="40">
        <v>7</v>
      </c>
      <c r="B34" s="14"/>
      <c r="C34" s="15"/>
      <c r="D34" s="12">
        <f t="shared" si="9"/>
        <v>0</v>
      </c>
      <c r="E34" s="13">
        <f t="shared" si="2"/>
        <v>0</v>
      </c>
      <c r="F34" s="13">
        <f t="shared" si="3"/>
        <v>0</v>
      </c>
      <c r="G34" s="13"/>
      <c r="I34" s="15"/>
      <c r="J34" s="15"/>
      <c r="K34" s="36">
        <f t="shared" si="4"/>
        <v>0</v>
      </c>
      <c r="L34" s="36"/>
      <c r="M34" s="16">
        <v>7</v>
      </c>
      <c r="N34" s="57"/>
      <c r="O34" s="50"/>
      <c r="P34" s="50"/>
      <c r="Q34" s="50"/>
      <c r="R34" s="50"/>
      <c r="T34" s="37">
        <f t="shared" si="5"/>
        <v>0</v>
      </c>
      <c r="U34" s="38">
        <f t="shared" si="6"/>
        <v>0</v>
      </c>
      <c r="W34" s="39">
        <f t="shared" si="7"/>
        <v>0</v>
      </c>
      <c r="X34" s="38">
        <f t="shared" si="8"/>
        <v>0</v>
      </c>
      <c r="Z34" s="16">
        <f t="shared" si="0"/>
        <v>0</v>
      </c>
      <c r="AA34" s="16">
        <v>0</v>
      </c>
      <c r="AB34" s="16">
        <f t="shared" si="10"/>
        <v>1</v>
      </c>
      <c r="AC34" s="16" t="s">
        <v>136</v>
      </c>
    </row>
    <row r="35" spans="1:29" x14ac:dyDescent="0.3">
      <c r="A35" s="40">
        <v>8</v>
      </c>
      <c r="B35" s="14"/>
      <c r="C35" s="15"/>
      <c r="D35" s="12">
        <f t="shared" si="9"/>
        <v>0</v>
      </c>
      <c r="E35" s="13">
        <f t="shared" si="2"/>
        <v>0</v>
      </c>
      <c r="F35" s="13">
        <f t="shared" si="3"/>
        <v>0</v>
      </c>
      <c r="G35" s="13"/>
      <c r="I35" s="15"/>
      <c r="J35" s="15"/>
      <c r="K35" s="36">
        <f t="shared" si="4"/>
        <v>0</v>
      </c>
      <c r="L35" s="36"/>
      <c r="M35" s="16">
        <v>8</v>
      </c>
      <c r="N35" s="57"/>
      <c r="O35" s="50"/>
      <c r="P35" s="50"/>
      <c r="Q35" s="50"/>
      <c r="R35" s="50"/>
      <c r="T35" s="37">
        <f t="shared" si="5"/>
        <v>0</v>
      </c>
      <c r="U35" s="38">
        <f t="shared" si="6"/>
        <v>0</v>
      </c>
      <c r="W35" s="39">
        <f t="shared" si="7"/>
        <v>0</v>
      </c>
      <c r="X35" s="38">
        <f t="shared" si="8"/>
        <v>0</v>
      </c>
      <c r="Z35" s="16">
        <f t="shared" si="0"/>
        <v>0</v>
      </c>
      <c r="AA35" s="16">
        <v>0</v>
      </c>
      <c r="AB35" s="16">
        <f t="shared" si="10"/>
        <v>1</v>
      </c>
      <c r="AC35" s="16" t="s">
        <v>136</v>
      </c>
    </row>
    <row r="36" spans="1:29" x14ac:dyDescent="0.3">
      <c r="A36" s="40">
        <v>9</v>
      </c>
      <c r="B36" s="14"/>
      <c r="C36" s="15"/>
      <c r="D36" s="12">
        <f t="shared" si="9"/>
        <v>0</v>
      </c>
      <c r="E36" s="13">
        <f t="shared" si="2"/>
        <v>0</v>
      </c>
      <c r="F36" s="13">
        <f t="shared" si="3"/>
        <v>0</v>
      </c>
      <c r="G36" s="13"/>
      <c r="I36" s="15"/>
      <c r="J36" s="15"/>
      <c r="K36" s="36">
        <f t="shared" si="4"/>
        <v>0</v>
      </c>
      <c r="L36" s="36"/>
      <c r="M36" s="16">
        <v>9</v>
      </c>
      <c r="N36" s="57"/>
      <c r="O36" s="50"/>
      <c r="P36" s="50"/>
      <c r="Q36" s="50"/>
      <c r="R36" s="50"/>
      <c r="T36" s="37">
        <f t="shared" si="5"/>
        <v>0</v>
      </c>
      <c r="U36" s="38">
        <f t="shared" si="6"/>
        <v>0</v>
      </c>
      <c r="W36" s="39">
        <f t="shared" si="7"/>
        <v>0</v>
      </c>
      <c r="X36" s="38">
        <f t="shared" si="8"/>
        <v>0</v>
      </c>
      <c r="Z36" s="16">
        <f t="shared" ref="Z36" si="11">IF(AA36&gt;0,1,0)</f>
        <v>1</v>
      </c>
      <c r="AA36" s="16">
        <f>SUM(AB29:AB36)</f>
        <v>8</v>
      </c>
      <c r="AB36" s="16">
        <f t="shared" si="10"/>
        <v>1</v>
      </c>
      <c r="AC36" s="16" t="s">
        <v>136</v>
      </c>
    </row>
    <row r="37" spans="1:29" x14ac:dyDescent="0.3">
      <c r="A37" s="40">
        <v>10</v>
      </c>
      <c r="B37" s="14"/>
      <c r="C37" s="15"/>
      <c r="D37" s="12">
        <f t="shared" si="9"/>
        <v>0</v>
      </c>
      <c r="E37" s="13">
        <f t="shared" si="2"/>
        <v>0</v>
      </c>
      <c r="F37" s="13">
        <f t="shared" si="3"/>
        <v>0</v>
      </c>
      <c r="G37" s="13"/>
      <c r="I37" s="15"/>
      <c r="J37" s="15"/>
      <c r="K37" s="36">
        <f t="shared" si="4"/>
        <v>0</v>
      </c>
      <c r="L37" s="36"/>
      <c r="M37" s="16">
        <v>10</v>
      </c>
      <c r="N37" s="57"/>
      <c r="O37" s="50"/>
      <c r="P37" s="50"/>
      <c r="Q37" s="50"/>
      <c r="R37" s="50"/>
      <c r="T37" s="37">
        <f t="shared" si="5"/>
        <v>0</v>
      </c>
      <c r="U37" s="38">
        <f t="shared" si="6"/>
        <v>0</v>
      </c>
      <c r="W37" s="39">
        <f t="shared" si="7"/>
        <v>0</v>
      </c>
      <c r="X37" s="38">
        <f t="shared" si="8"/>
        <v>0</v>
      </c>
      <c r="Z37" s="16">
        <f t="shared" si="0"/>
        <v>0</v>
      </c>
      <c r="AA37" s="16">
        <v>0</v>
      </c>
      <c r="AB37" s="16">
        <f t="array" ref="AB37">SUM(IF($A$28:$A$147&gt;$B$17,IF($B$28:$B$147="",0,1),0))</f>
        <v>0</v>
      </c>
      <c r="AC37" s="16" t="s">
        <v>90</v>
      </c>
    </row>
    <row r="38" spans="1:29" x14ac:dyDescent="0.3">
      <c r="A38" s="40">
        <v>11</v>
      </c>
      <c r="B38" s="14"/>
      <c r="C38" s="15"/>
      <c r="D38" s="12">
        <f t="shared" si="9"/>
        <v>0</v>
      </c>
      <c r="E38" s="13">
        <f t="shared" si="2"/>
        <v>0</v>
      </c>
      <c r="F38" s="13">
        <f t="shared" si="3"/>
        <v>0</v>
      </c>
      <c r="G38" s="13"/>
      <c r="I38" s="15"/>
      <c r="J38" s="15"/>
      <c r="K38" s="36">
        <f t="shared" si="4"/>
        <v>0</v>
      </c>
      <c r="L38" s="36"/>
      <c r="M38" s="16">
        <v>11</v>
      </c>
      <c r="N38" s="57"/>
      <c r="O38" s="50"/>
      <c r="P38" s="50"/>
      <c r="Q38" s="50"/>
      <c r="R38" s="50"/>
      <c r="T38" s="37">
        <f t="shared" si="5"/>
        <v>0</v>
      </c>
      <c r="U38" s="38">
        <f t="shared" si="6"/>
        <v>0</v>
      </c>
      <c r="W38" s="39">
        <f t="shared" si="7"/>
        <v>0</v>
      </c>
      <c r="X38" s="38">
        <f t="shared" si="8"/>
        <v>0</v>
      </c>
      <c r="Z38" s="16">
        <f t="shared" si="0"/>
        <v>0</v>
      </c>
      <c r="AA38" s="16">
        <v>0</v>
      </c>
      <c r="AB38" s="16">
        <f t="array" ref="AB38">SUM(IF($A$28:$A$147&gt;$B$11,IF($C$28:$C$147="",0,1),0))</f>
        <v>0</v>
      </c>
      <c r="AC38" s="16" t="s">
        <v>90</v>
      </c>
    </row>
    <row r="39" spans="1:29" x14ac:dyDescent="0.3">
      <c r="A39" s="40">
        <v>12</v>
      </c>
      <c r="B39" s="14"/>
      <c r="C39" s="15"/>
      <c r="D39" s="12">
        <f t="shared" si="9"/>
        <v>0</v>
      </c>
      <c r="E39" s="13">
        <f t="shared" si="2"/>
        <v>0</v>
      </c>
      <c r="F39" s="13">
        <f t="shared" si="3"/>
        <v>0</v>
      </c>
      <c r="G39" s="13"/>
      <c r="I39" s="15"/>
      <c r="J39" s="15"/>
      <c r="K39" s="36">
        <f t="shared" si="4"/>
        <v>0</v>
      </c>
      <c r="L39" s="36"/>
      <c r="M39" s="16">
        <v>12</v>
      </c>
      <c r="N39" s="57"/>
      <c r="O39" s="50"/>
      <c r="P39" s="50"/>
      <c r="Q39" s="50"/>
      <c r="R39" s="50"/>
      <c r="T39" s="37">
        <f t="shared" si="5"/>
        <v>0</v>
      </c>
      <c r="U39" s="38">
        <f t="shared" si="6"/>
        <v>0</v>
      </c>
      <c r="W39" s="39">
        <f t="shared" si="7"/>
        <v>0</v>
      </c>
      <c r="X39" s="38">
        <f t="shared" si="8"/>
        <v>0</v>
      </c>
      <c r="Z39" s="16">
        <f t="shared" si="0"/>
        <v>0</v>
      </c>
      <c r="AA39" s="16">
        <v>0</v>
      </c>
      <c r="AB39" s="16">
        <f t="array" ref="AB39">SUM(IF($A$28:$A$147&gt;$B$17,IF($I$28:$I$147="",0,1),0))</f>
        <v>0</v>
      </c>
      <c r="AC39" s="16" t="s">
        <v>90</v>
      </c>
    </row>
    <row r="40" spans="1:29" x14ac:dyDescent="0.3">
      <c r="A40" s="40">
        <v>13</v>
      </c>
      <c r="B40" s="14"/>
      <c r="C40" s="15"/>
      <c r="D40" s="12">
        <f t="shared" si="9"/>
        <v>0</v>
      </c>
      <c r="E40" s="13">
        <f t="shared" si="2"/>
        <v>0</v>
      </c>
      <c r="F40" s="13">
        <f t="shared" si="3"/>
        <v>0</v>
      </c>
      <c r="G40" s="13"/>
      <c r="I40" s="15"/>
      <c r="J40" s="15"/>
      <c r="K40" s="36">
        <f t="shared" si="4"/>
        <v>0</v>
      </c>
      <c r="L40" s="36"/>
      <c r="M40" s="16">
        <v>13</v>
      </c>
      <c r="N40" s="57"/>
      <c r="O40" s="50"/>
      <c r="P40" s="50"/>
      <c r="Q40" s="50"/>
      <c r="R40" s="50"/>
      <c r="T40" s="37">
        <f t="shared" si="5"/>
        <v>0</v>
      </c>
      <c r="U40" s="38">
        <f t="shared" si="6"/>
        <v>0</v>
      </c>
      <c r="W40" s="39">
        <f t="shared" si="7"/>
        <v>0</v>
      </c>
      <c r="X40" s="38">
        <f t="shared" si="8"/>
        <v>0</v>
      </c>
      <c r="Z40" s="16">
        <f t="shared" si="0"/>
        <v>0</v>
      </c>
      <c r="AA40" s="83">
        <v>0</v>
      </c>
      <c r="AB40" s="16">
        <f t="array" ref="AB40">SUM(IF($A$28:$A$147&gt;$B$17,IF($J$28:$J$147="",0,1),0))</f>
        <v>0</v>
      </c>
      <c r="AC40" s="16" t="s">
        <v>90</v>
      </c>
    </row>
    <row r="41" spans="1:29" x14ac:dyDescent="0.3">
      <c r="A41" s="40">
        <v>14</v>
      </c>
      <c r="B41" s="14"/>
      <c r="C41" s="15"/>
      <c r="D41" s="12">
        <f t="shared" si="9"/>
        <v>0</v>
      </c>
      <c r="E41" s="13">
        <f t="shared" si="2"/>
        <v>0</v>
      </c>
      <c r="F41" s="13">
        <f t="shared" si="3"/>
        <v>0</v>
      </c>
      <c r="G41" s="13"/>
      <c r="I41" s="15"/>
      <c r="J41" s="15"/>
      <c r="K41" s="36">
        <f t="shared" si="4"/>
        <v>0</v>
      </c>
      <c r="L41" s="36"/>
      <c r="M41" s="16">
        <v>14</v>
      </c>
      <c r="N41" s="57"/>
      <c r="O41" s="50"/>
      <c r="P41" s="50"/>
      <c r="Q41" s="50"/>
      <c r="R41" s="50"/>
      <c r="T41" s="37">
        <f t="shared" si="5"/>
        <v>0</v>
      </c>
      <c r="U41" s="38">
        <f t="shared" si="6"/>
        <v>0</v>
      </c>
      <c r="W41" s="39">
        <f t="shared" si="7"/>
        <v>0</v>
      </c>
      <c r="X41" s="38">
        <f t="shared" si="8"/>
        <v>0</v>
      </c>
      <c r="Z41" s="83">
        <f t="shared" si="0"/>
        <v>0</v>
      </c>
      <c r="AA41" s="83">
        <v>0</v>
      </c>
      <c r="AB41" s="16">
        <f>IF(AND(B21&gt;=0,B21&lt;=1),0,1)</f>
        <v>0</v>
      </c>
      <c r="AC41" s="83" t="s">
        <v>90</v>
      </c>
    </row>
    <row r="42" spans="1:29" x14ac:dyDescent="0.3">
      <c r="A42" s="40">
        <v>15</v>
      </c>
      <c r="B42" s="14"/>
      <c r="C42" s="15"/>
      <c r="D42" s="12">
        <f t="shared" si="9"/>
        <v>0</v>
      </c>
      <c r="E42" s="13">
        <f t="shared" si="2"/>
        <v>0</v>
      </c>
      <c r="F42" s="13">
        <f t="shared" si="3"/>
        <v>0</v>
      </c>
      <c r="G42" s="13"/>
      <c r="I42" s="15"/>
      <c r="J42" s="15"/>
      <c r="K42" s="36">
        <f t="shared" si="4"/>
        <v>0</v>
      </c>
      <c r="L42" s="36"/>
      <c r="M42" s="16">
        <v>15</v>
      </c>
      <c r="N42" s="57"/>
      <c r="O42" s="50"/>
      <c r="P42" s="50"/>
      <c r="Q42" s="50"/>
      <c r="R42" s="50"/>
      <c r="T42" s="37">
        <f t="shared" si="5"/>
        <v>0</v>
      </c>
      <c r="U42" s="38">
        <f t="shared" si="6"/>
        <v>0</v>
      </c>
      <c r="W42" s="39">
        <f t="shared" si="7"/>
        <v>0</v>
      </c>
      <c r="X42" s="38">
        <f t="shared" si="8"/>
        <v>0</v>
      </c>
      <c r="Z42" s="83">
        <f t="shared" si="0"/>
        <v>1</v>
      </c>
      <c r="AA42" s="83">
        <f>SUM(AB37:AB42)</f>
        <v>1</v>
      </c>
      <c r="AB42" s="16">
        <f>IF(AND(B22&gt;=43101,B22&lt;=73050),0,1)</f>
        <v>1</v>
      </c>
      <c r="AC42" s="83" t="s">
        <v>90</v>
      </c>
    </row>
    <row r="43" spans="1:29" x14ac:dyDescent="0.3">
      <c r="A43" s="40">
        <v>16</v>
      </c>
      <c r="B43" s="14"/>
      <c r="C43" s="15"/>
      <c r="D43" s="12">
        <f t="shared" si="9"/>
        <v>0</v>
      </c>
      <c r="E43" s="13">
        <f t="shared" si="2"/>
        <v>0</v>
      </c>
      <c r="F43" s="13">
        <f t="shared" si="3"/>
        <v>0</v>
      </c>
      <c r="G43" s="13"/>
      <c r="I43" s="15"/>
      <c r="J43" s="15"/>
      <c r="K43" s="36">
        <f t="shared" si="4"/>
        <v>0</v>
      </c>
      <c r="L43" s="36"/>
      <c r="M43" s="16">
        <v>16</v>
      </c>
      <c r="N43" s="57"/>
      <c r="O43" s="50"/>
      <c r="P43" s="50"/>
      <c r="Q43" s="50"/>
      <c r="R43" s="50"/>
      <c r="T43" s="37">
        <f t="shared" si="5"/>
        <v>0</v>
      </c>
      <c r="U43" s="38">
        <f t="shared" si="6"/>
        <v>0</v>
      </c>
      <c r="W43" s="39">
        <f t="shared" si="7"/>
        <v>0</v>
      </c>
      <c r="X43" s="38">
        <f t="shared" si="8"/>
        <v>0</v>
      </c>
      <c r="Z43" s="16">
        <f t="shared" ref="Z43:Z53" si="12">IF(AA43&gt;0,1,0)</f>
        <v>0</v>
      </c>
      <c r="AA43" s="16">
        <v>0</v>
      </c>
      <c r="AB43" s="16">
        <f t="array" ref="AB43">SUM(IF($A$28:$A$147&lt;=$B$17,IF($B$28:$B$147="",1,0),0))</f>
        <v>0</v>
      </c>
      <c r="AC43" s="16" t="s">
        <v>88</v>
      </c>
    </row>
    <row r="44" spans="1:29" x14ac:dyDescent="0.3">
      <c r="A44" s="40">
        <v>17</v>
      </c>
      <c r="B44" s="14"/>
      <c r="C44" s="15"/>
      <c r="D44" s="12">
        <f t="shared" si="9"/>
        <v>0</v>
      </c>
      <c r="E44" s="13">
        <f t="shared" si="2"/>
        <v>0</v>
      </c>
      <c r="F44" s="13">
        <f t="shared" si="3"/>
        <v>0</v>
      </c>
      <c r="G44" s="13"/>
      <c r="I44" s="15"/>
      <c r="J44" s="15"/>
      <c r="K44" s="36">
        <f t="shared" si="4"/>
        <v>0</v>
      </c>
      <c r="L44" s="36"/>
      <c r="M44" s="16">
        <v>17</v>
      </c>
      <c r="N44" s="57"/>
      <c r="O44" s="50"/>
      <c r="P44" s="50"/>
      <c r="Q44" s="50"/>
      <c r="R44" s="50"/>
      <c r="T44" s="37">
        <f t="shared" si="5"/>
        <v>0</v>
      </c>
      <c r="U44" s="38">
        <f t="shared" si="6"/>
        <v>0</v>
      </c>
      <c r="W44" s="39">
        <f t="shared" si="7"/>
        <v>0</v>
      </c>
      <c r="X44" s="38">
        <f t="shared" si="8"/>
        <v>0</v>
      </c>
      <c r="Z44" s="16">
        <f t="shared" si="12"/>
        <v>0</v>
      </c>
      <c r="AA44" s="16">
        <v>0</v>
      </c>
      <c r="AB44" s="16">
        <f t="array" ref="AB44">SUM(IF($A$28:$A$147&lt;=$B$11,IF($C$28:$C$147="",1,0),0))</f>
        <v>0</v>
      </c>
      <c r="AC44" s="16" t="s">
        <v>88</v>
      </c>
    </row>
    <row r="45" spans="1:29" x14ac:dyDescent="0.3">
      <c r="A45" s="40">
        <v>18</v>
      </c>
      <c r="B45" s="14"/>
      <c r="C45" s="15"/>
      <c r="D45" s="12">
        <f t="shared" si="9"/>
        <v>0</v>
      </c>
      <c r="E45" s="13">
        <f t="shared" si="2"/>
        <v>0</v>
      </c>
      <c r="F45" s="13">
        <f t="shared" si="3"/>
        <v>0</v>
      </c>
      <c r="G45" s="13"/>
      <c r="I45" s="15"/>
      <c r="J45" s="15"/>
      <c r="K45" s="36">
        <f t="shared" si="4"/>
        <v>0</v>
      </c>
      <c r="L45" s="36"/>
      <c r="M45" s="16">
        <v>18</v>
      </c>
      <c r="N45" s="57"/>
      <c r="O45" s="50"/>
      <c r="P45" s="50"/>
      <c r="Q45" s="50"/>
      <c r="R45" s="50"/>
      <c r="T45" s="37">
        <f t="shared" si="5"/>
        <v>0</v>
      </c>
      <c r="U45" s="38">
        <f t="shared" si="6"/>
        <v>0</v>
      </c>
      <c r="W45" s="39">
        <f t="shared" si="7"/>
        <v>0</v>
      </c>
      <c r="X45" s="38">
        <f t="shared" si="8"/>
        <v>0</v>
      </c>
      <c r="Z45" s="16">
        <f t="shared" si="12"/>
        <v>0</v>
      </c>
      <c r="AA45" s="16">
        <v>0</v>
      </c>
      <c r="AB45" s="16">
        <f t="array" ref="AB45">SUM(IF($A$28:$A$147&lt;=$B$17,IF($I$28:$I$147="",1,0),0))</f>
        <v>0</v>
      </c>
      <c r="AC45" s="16" t="s">
        <v>88</v>
      </c>
    </row>
    <row r="46" spans="1:29" x14ac:dyDescent="0.3">
      <c r="A46" s="40">
        <v>19</v>
      </c>
      <c r="B46" s="14"/>
      <c r="C46" s="15"/>
      <c r="D46" s="12">
        <f t="shared" si="9"/>
        <v>0</v>
      </c>
      <c r="E46" s="13">
        <f t="shared" si="2"/>
        <v>0</v>
      </c>
      <c r="F46" s="13">
        <f t="shared" si="3"/>
        <v>0</v>
      </c>
      <c r="G46" s="13"/>
      <c r="I46" s="15"/>
      <c r="J46" s="15"/>
      <c r="K46" s="36">
        <f t="shared" si="4"/>
        <v>0</v>
      </c>
      <c r="L46" s="36"/>
      <c r="M46" s="16">
        <v>19</v>
      </c>
      <c r="N46" s="57"/>
      <c r="O46" s="50"/>
      <c r="P46" s="50"/>
      <c r="Q46" s="50"/>
      <c r="R46" s="50"/>
      <c r="T46" s="37">
        <f t="shared" si="5"/>
        <v>0</v>
      </c>
      <c r="U46" s="38">
        <f t="shared" si="6"/>
        <v>0</v>
      </c>
      <c r="W46" s="39">
        <f t="shared" si="7"/>
        <v>0</v>
      </c>
      <c r="X46" s="38">
        <f t="shared" si="8"/>
        <v>0</v>
      </c>
      <c r="Z46" s="16">
        <f t="shared" si="12"/>
        <v>0</v>
      </c>
      <c r="AA46" s="16">
        <f>SUM(AB43:AB46)</f>
        <v>0</v>
      </c>
      <c r="AB46" s="16">
        <f t="array" ref="AB46">SUM(IF($A$28:$A$147&lt;=$B$17,IF($J$28:$J$147="",1,0),0))</f>
        <v>0</v>
      </c>
      <c r="AC46" s="16" t="s">
        <v>88</v>
      </c>
    </row>
    <row r="47" spans="1:29" ht="15" customHeight="1" x14ac:dyDescent="0.3">
      <c r="A47" s="40">
        <v>20</v>
      </c>
      <c r="B47" s="14"/>
      <c r="C47" s="15"/>
      <c r="D47" s="12">
        <f t="shared" si="9"/>
        <v>0</v>
      </c>
      <c r="E47" s="13">
        <f t="shared" si="2"/>
        <v>0</v>
      </c>
      <c r="F47" s="13">
        <f t="shared" si="3"/>
        <v>0</v>
      </c>
      <c r="G47" s="13"/>
      <c r="I47" s="15"/>
      <c r="J47" s="15"/>
      <c r="K47" s="36">
        <f t="shared" si="4"/>
        <v>0</v>
      </c>
      <c r="L47" s="36"/>
      <c r="M47" s="16">
        <v>20</v>
      </c>
      <c r="N47" s="57"/>
      <c r="O47" s="50"/>
      <c r="P47" s="50"/>
      <c r="Q47" s="50"/>
      <c r="R47" s="50"/>
      <c r="T47" s="37">
        <f t="shared" si="5"/>
        <v>0</v>
      </c>
      <c r="U47" s="38">
        <f t="shared" si="6"/>
        <v>0</v>
      </c>
      <c r="W47" s="39">
        <f t="shared" si="7"/>
        <v>0</v>
      </c>
      <c r="X47" s="38">
        <f t="shared" si="8"/>
        <v>0</v>
      </c>
      <c r="Z47" s="16">
        <f t="shared" si="12"/>
        <v>0</v>
      </c>
      <c r="AA47" s="16">
        <v>0</v>
      </c>
      <c r="AB47" s="16">
        <f t="array" ref="AB47">SUM(IF($A$28:$A$147&gt;$B$11,IF($N$28:$N$147="",0,1),0))</f>
        <v>0</v>
      </c>
      <c r="AC47" s="16" t="s">
        <v>87</v>
      </c>
    </row>
    <row r="48" spans="1:29" ht="15" customHeight="1" x14ac:dyDescent="0.3">
      <c r="A48" s="40">
        <v>21</v>
      </c>
      <c r="B48" s="14"/>
      <c r="C48" s="15"/>
      <c r="D48" s="12">
        <f t="shared" si="9"/>
        <v>0</v>
      </c>
      <c r="E48" s="13">
        <f t="shared" si="2"/>
        <v>0</v>
      </c>
      <c r="F48" s="13">
        <f t="shared" si="3"/>
        <v>0</v>
      </c>
      <c r="G48" s="13"/>
      <c r="I48" s="15"/>
      <c r="J48" s="15"/>
      <c r="K48" s="36">
        <f t="shared" si="4"/>
        <v>0</v>
      </c>
      <c r="L48" s="36"/>
      <c r="M48" s="16">
        <v>21</v>
      </c>
      <c r="N48" s="57"/>
      <c r="O48" s="50"/>
      <c r="P48" s="50"/>
      <c r="Q48" s="50"/>
      <c r="R48" s="50"/>
      <c r="T48" s="37">
        <f t="shared" si="5"/>
        <v>0</v>
      </c>
      <c r="U48" s="38">
        <f t="shared" si="6"/>
        <v>0</v>
      </c>
      <c r="W48" s="39">
        <f t="shared" si="7"/>
        <v>0</v>
      </c>
      <c r="X48" s="38">
        <f t="shared" si="8"/>
        <v>0</v>
      </c>
      <c r="Z48" s="16">
        <f t="shared" si="12"/>
        <v>0</v>
      </c>
      <c r="AA48" s="16">
        <v>0</v>
      </c>
      <c r="AB48" s="16">
        <f t="array" ref="AB48">SUM(IF($A$28:$A$147&gt;$B$11,IF($O$28:$O$147="",0,1),0))</f>
        <v>0</v>
      </c>
      <c r="AC48" s="16" t="s">
        <v>87</v>
      </c>
    </row>
    <row r="49" spans="1:44" x14ac:dyDescent="0.3">
      <c r="A49" s="40">
        <v>22</v>
      </c>
      <c r="B49" s="14"/>
      <c r="C49" s="15"/>
      <c r="D49" s="12">
        <f t="shared" si="9"/>
        <v>0</v>
      </c>
      <c r="E49" s="13">
        <f t="shared" si="2"/>
        <v>0</v>
      </c>
      <c r="F49" s="13">
        <f t="shared" si="3"/>
        <v>0</v>
      </c>
      <c r="G49" s="13"/>
      <c r="I49" s="15"/>
      <c r="J49" s="15"/>
      <c r="K49" s="36">
        <f t="shared" si="4"/>
        <v>0</v>
      </c>
      <c r="L49" s="36"/>
      <c r="M49" s="16">
        <v>22</v>
      </c>
      <c r="N49" s="57"/>
      <c r="O49" s="50"/>
      <c r="P49" s="50"/>
      <c r="Q49" s="50"/>
      <c r="R49" s="50"/>
      <c r="T49" s="37">
        <f t="shared" si="5"/>
        <v>0</v>
      </c>
      <c r="U49" s="38">
        <f t="shared" si="6"/>
        <v>0</v>
      </c>
      <c r="W49" s="39">
        <f t="shared" si="7"/>
        <v>0</v>
      </c>
      <c r="X49" s="38">
        <f t="shared" si="8"/>
        <v>0</v>
      </c>
      <c r="Z49" s="16">
        <f t="shared" si="12"/>
        <v>0</v>
      </c>
      <c r="AA49" s="16">
        <v>0</v>
      </c>
      <c r="AB49" s="16">
        <f t="array" ref="AB49">SUM(IF($A$28:$A$147&gt;$B$11,IF($P$28:$P$147="",0,1),0))</f>
        <v>0</v>
      </c>
      <c r="AC49" s="16" t="s">
        <v>87</v>
      </c>
    </row>
    <row r="50" spans="1:44" x14ac:dyDescent="0.3">
      <c r="A50" s="40">
        <v>23</v>
      </c>
      <c r="B50" s="14"/>
      <c r="C50" s="15"/>
      <c r="D50" s="12">
        <f t="shared" si="9"/>
        <v>0</v>
      </c>
      <c r="E50" s="13">
        <f t="shared" si="2"/>
        <v>0</v>
      </c>
      <c r="F50" s="13">
        <f t="shared" si="3"/>
        <v>0</v>
      </c>
      <c r="G50" s="13"/>
      <c r="I50" s="15"/>
      <c r="J50" s="15"/>
      <c r="K50" s="36">
        <f t="shared" si="4"/>
        <v>0</v>
      </c>
      <c r="L50" s="36"/>
      <c r="M50" s="16">
        <v>23</v>
      </c>
      <c r="N50" s="57"/>
      <c r="O50" s="50"/>
      <c r="P50" s="50"/>
      <c r="Q50" s="50"/>
      <c r="R50" s="50"/>
      <c r="T50" s="37">
        <f t="shared" si="5"/>
        <v>0</v>
      </c>
      <c r="U50" s="38">
        <f t="shared" si="6"/>
        <v>0</v>
      </c>
      <c r="W50" s="39">
        <f t="shared" si="7"/>
        <v>0</v>
      </c>
      <c r="X50" s="38">
        <f t="shared" si="8"/>
        <v>0</v>
      </c>
      <c r="Z50" s="16">
        <f t="shared" si="12"/>
        <v>0</v>
      </c>
      <c r="AA50" s="16">
        <v>0</v>
      </c>
      <c r="AB50" s="16">
        <f t="array" ref="AB50">SUM(IF($A$28:$A$147&gt;$B$11,IF($Q$28:$Q$147="",0,1),0))</f>
        <v>0</v>
      </c>
      <c r="AC50" s="16" t="s">
        <v>87</v>
      </c>
    </row>
    <row r="51" spans="1:44" x14ac:dyDescent="0.3">
      <c r="A51" s="40">
        <v>24</v>
      </c>
      <c r="B51" s="14"/>
      <c r="C51" s="15"/>
      <c r="D51" s="12">
        <f t="shared" si="9"/>
        <v>0</v>
      </c>
      <c r="E51" s="13">
        <f t="shared" si="2"/>
        <v>0</v>
      </c>
      <c r="F51" s="13">
        <f t="shared" si="3"/>
        <v>0</v>
      </c>
      <c r="G51" s="13"/>
      <c r="I51" s="15"/>
      <c r="J51" s="15"/>
      <c r="K51" s="36">
        <f t="shared" si="4"/>
        <v>0</v>
      </c>
      <c r="L51" s="36"/>
      <c r="M51" s="16">
        <v>24</v>
      </c>
      <c r="N51" s="57"/>
      <c r="O51" s="50"/>
      <c r="P51" s="50"/>
      <c r="Q51" s="50"/>
      <c r="R51" s="50"/>
      <c r="T51" s="37">
        <f t="shared" si="5"/>
        <v>0</v>
      </c>
      <c r="U51" s="38">
        <f t="shared" si="6"/>
        <v>0</v>
      </c>
      <c r="W51" s="39">
        <f t="shared" si="7"/>
        <v>0</v>
      </c>
      <c r="X51" s="38">
        <f t="shared" si="8"/>
        <v>0</v>
      </c>
      <c r="Z51" s="16">
        <f t="shared" si="12"/>
        <v>0</v>
      </c>
      <c r="AA51" s="16">
        <f>SUM(AB47:AB51)</f>
        <v>0</v>
      </c>
      <c r="AB51" s="16">
        <f t="array" ref="AB51">SUM(IF($A$28:$A$147&gt;$B$11,IF($R$28:$R$147="",0,1),0))</f>
        <v>0</v>
      </c>
      <c r="AC51" s="16" t="s">
        <v>87</v>
      </c>
    </row>
    <row r="52" spans="1:44" x14ac:dyDescent="0.3">
      <c r="A52" s="40">
        <v>25</v>
      </c>
      <c r="B52" s="14"/>
      <c r="C52" s="15"/>
      <c r="D52" s="12">
        <f t="shared" si="9"/>
        <v>0</v>
      </c>
      <c r="E52" s="13">
        <f t="shared" si="2"/>
        <v>0</v>
      </c>
      <c r="F52" s="13">
        <f t="shared" si="3"/>
        <v>0</v>
      </c>
      <c r="G52" s="13"/>
      <c r="I52" s="15"/>
      <c r="J52" s="15"/>
      <c r="K52" s="36">
        <f t="shared" si="4"/>
        <v>0</v>
      </c>
      <c r="L52" s="36"/>
      <c r="M52" s="16">
        <v>25</v>
      </c>
      <c r="N52" s="57"/>
      <c r="O52" s="50"/>
      <c r="P52" s="50"/>
      <c r="Q52" s="50"/>
      <c r="R52" s="50"/>
      <c r="T52" s="37">
        <f t="shared" si="5"/>
        <v>0</v>
      </c>
      <c r="U52" s="38">
        <f t="shared" si="6"/>
        <v>0</v>
      </c>
      <c r="W52" s="39">
        <f t="shared" si="7"/>
        <v>0</v>
      </c>
      <c r="X52" s="38">
        <f t="shared" si="8"/>
        <v>0</v>
      </c>
      <c r="Z52" s="16">
        <f t="shared" si="12"/>
        <v>1</v>
      </c>
      <c r="AA52" s="16">
        <f>AB52</f>
        <v>1</v>
      </c>
      <c r="AB52" s="16">
        <f>IF(AND(B7="PU",B17=1),0,IF(AND(B7="PM",B17=B11),0,IF(AND(B7="PP",B17&gt;1,B17&lt;=B11),0,1)))</f>
        <v>1</v>
      </c>
      <c r="AC52" s="16" t="str">
        <f ca="1">"a célula de coluna " &amp; TEXT(CELL("col",B17),0) &amp; ", linha " &amp; TEXT(CELL("lin",B17),0) &amp; " deve ser compatível com a célula de coluna " &amp; TEXT(CELL("col",B11),0) &amp; ", linha " &amp; TEXT(CELL("lin",B11),0) &amp; " e com a célula de coluna " &amp; TEXT(CELL("col",B7),0) &amp; ", linha " &amp; TEXT(CELL("lin",B7),0)</f>
        <v>a célula de coluna 2, linha 17 deve ser compatível com a célula de coluna 2, linha 11 e com a célula de coluna 2, linha 7</v>
      </c>
    </row>
    <row r="53" spans="1:44" x14ac:dyDescent="0.3">
      <c r="A53" s="40">
        <v>26</v>
      </c>
      <c r="B53" s="14"/>
      <c r="C53" s="15"/>
      <c r="D53" s="12">
        <f t="shared" si="9"/>
        <v>0</v>
      </c>
      <c r="E53" s="13">
        <f t="shared" si="2"/>
        <v>0</v>
      </c>
      <c r="F53" s="13">
        <f t="shared" si="3"/>
        <v>0</v>
      </c>
      <c r="G53" s="13"/>
      <c r="I53" s="15"/>
      <c r="J53" s="15"/>
      <c r="K53" s="36">
        <f t="shared" si="4"/>
        <v>0</v>
      </c>
      <c r="L53" s="36"/>
      <c r="M53" s="16">
        <v>26</v>
      </c>
      <c r="N53" s="57"/>
      <c r="O53" s="50"/>
      <c r="P53" s="50"/>
      <c r="Q53" s="50"/>
      <c r="R53" s="50"/>
      <c r="T53" s="37">
        <f t="shared" si="5"/>
        <v>0</v>
      </c>
      <c r="U53" s="38">
        <f t="shared" si="6"/>
        <v>0</v>
      </c>
      <c r="W53" s="39">
        <f t="shared" si="7"/>
        <v>0</v>
      </c>
      <c r="X53" s="38">
        <f t="shared" si="8"/>
        <v>0</v>
      </c>
      <c r="Z53" s="16">
        <f t="shared" si="12"/>
        <v>0</v>
      </c>
      <c r="AA53" s="16">
        <f>AB53</f>
        <v>0</v>
      </c>
      <c r="AB53" s="16">
        <f t="array" ref="AB53">COUNT(IF(Dados!$N$28:$R$147&lt;0,Dados!$N$28:$R$147,""),"")</f>
        <v>0</v>
      </c>
      <c r="AC53" s="16" t="s">
        <v>132</v>
      </c>
      <c r="AI53" s="83"/>
      <c r="AJ53" s="83"/>
      <c r="AK53" s="83"/>
      <c r="AL53" s="83"/>
      <c r="AM53" s="83"/>
      <c r="AN53" s="83"/>
      <c r="AO53" s="83"/>
      <c r="AP53" s="83"/>
    </row>
    <row r="54" spans="1:44" x14ac:dyDescent="0.3">
      <c r="A54" s="40">
        <v>27</v>
      </c>
      <c r="B54" s="14"/>
      <c r="C54" s="15"/>
      <c r="D54" s="12">
        <f t="shared" si="9"/>
        <v>0</v>
      </c>
      <c r="E54" s="13">
        <f t="shared" si="2"/>
        <v>0</v>
      </c>
      <c r="F54" s="13">
        <f t="shared" si="3"/>
        <v>0</v>
      </c>
      <c r="G54" s="13"/>
      <c r="I54" s="15"/>
      <c r="J54" s="15"/>
      <c r="K54" s="36">
        <f t="shared" si="4"/>
        <v>0</v>
      </c>
      <c r="L54" s="36"/>
      <c r="M54" s="16">
        <v>27</v>
      </c>
      <c r="N54" s="57"/>
      <c r="O54" s="50"/>
      <c r="P54" s="50"/>
      <c r="Q54" s="50"/>
      <c r="R54" s="50"/>
      <c r="T54" s="37">
        <f t="shared" si="5"/>
        <v>0</v>
      </c>
      <c r="U54" s="38">
        <f t="shared" si="6"/>
        <v>0</v>
      </c>
      <c r="W54" s="39">
        <f t="shared" si="7"/>
        <v>0</v>
      </c>
      <c r="X54" s="38">
        <f t="shared" si="8"/>
        <v>0</v>
      </c>
      <c r="Z54" s="16">
        <f t="shared" ref="Z54:Z55" si="13">IF(AA54&gt;0,1,0)</f>
        <v>0</v>
      </c>
      <c r="AA54" s="16">
        <f>SUM(AB54:AB57)</f>
        <v>0</v>
      </c>
      <c r="AB54" s="77">
        <f t="array" ref="AB54">SUM(IF(N(ISNUMBER(IF(IF(N(ISBLANK($B$28:$C$147)),$B$28:$C$147,1)=1,$B$28:$C$147,0)))=0,1,0))</f>
        <v>0</v>
      </c>
      <c r="AC54" s="77" t="s">
        <v>120</v>
      </c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</row>
    <row r="55" spans="1:44" x14ac:dyDescent="0.3">
      <c r="A55" s="40">
        <v>28</v>
      </c>
      <c r="B55" s="14"/>
      <c r="C55" s="15"/>
      <c r="D55" s="12">
        <f t="shared" si="9"/>
        <v>0</v>
      </c>
      <c r="E55" s="13">
        <f t="shared" si="2"/>
        <v>0</v>
      </c>
      <c r="F55" s="13">
        <f t="shared" si="3"/>
        <v>0</v>
      </c>
      <c r="G55" s="13"/>
      <c r="I55" s="15"/>
      <c r="J55" s="15"/>
      <c r="K55" s="36">
        <f t="shared" si="4"/>
        <v>0</v>
      </c>
      <c r="L55" s="36"/>
      <c r="M55" s="16">
        <v>28</v>
      </c>
      <c r="N55" s="57"/>
      <c r="O55" s="50"/>
      <c r="P55" s="50"/>
      <c r="Q55" s="50"/>
      <c r="R55" s="50"/>
      <c r="T55" s="37">
        <f t="shared" si="5"/>
        <v>0</v>
      </c>
      <c r="U55" s="38">
        <f t="shared" si="6"/>
        <v>0</v>
      </c>
      <c r="W55" s="39">
        <f t="shared" si="7"/>
        <v>0</v>
      </c>
      <c r="X55" s="38">
        <f t="shared" si="8"/>
        <v>0</v>
      </c>
      <c r="Z55" s="16">
        <f t="shared" si="13"/>
        <v>0</v>
      </c>
      <c r="AA55" s="16">
        <v>0</v>
      </c>
      <c r="AB55" s="77">
        <f t="array" ref="AB55">SUM(IF(N(ISNUMBER(IF(IF(N(ISBLANK($I$28:$J$147)),$I$28:$J$147,1)=1,$I$28:$J$147,0)))=0,1,0))</f>
        <v>0</v>
      </c>
      <c r="AC55" s="77" t="s">
        <v>120</v>
      </c>
      <c r="AH55" s="83"/>
      <c r="AI55" s="83"/>
      <c r="AJ55" s="83"/>
      <c r="AK55" s="83"/>
      <c r="AL55" s="83"/>
      <c r="AM55" s="83"/>
      <c r="AN55" s="83"/>
      <c r="AO55" s="83"/>
      <c r="AP55" s="83"/>
      <c r="AQ55" s="83"/>
      <c r="AR55" s="83"/>
    </row>
    <row r="56" spans="1:44" x14ac:dyDescent="0.3">
      <c r="A56" s="40">
        <v>29</v>
      </c>
      <c r="B56" s="14"/>
      <c r="C56" s="15"/>
      <c r="D56" s="12">
        <f t="shared" si="9"/>
        <v>0</v>
      </c>
      <c r="E56" s="13">
        <f t="shared" si="2"/>
        <v>0</v>
      </c>
      <c r="F56" s="13">
        <f t="shared" si="3"/>
        <v>0</v>
      </c>
      <c r="G56" s="13"/>
      <c r="I56" s="15"/>
      <c r="J56" s="15"/>
      <c r="K56" s="36">
        <f t="shared" si="4"/>
        <v>0</v>
      </c>
      <c r="L56" s="36"/>
      <c r="M56" s="16">
        <v>29</v>
      </c>
      <c r="N56" s="57"/>
      <c r="O56" s="50"/>
      <c r="P56" s="50"/>
      <c r="Q56" s="50"/>
      <c r="R56" s="50"/>
      <c r="T56" s="37">
        <f t="shared" si="5"/>
        <v>0</v>
      </c>
      <c r="U56" s="38">
        <f t="shared" si="6"/>
        <v>0</v>
      </c>
      <c r="W56" s="39">
        <f t="shared" si="7"/>
        <v>0</v>
      </c>
      <c r="X56" s="38">
        <f t="shared" si="8"/>
        <v>0</v>
      </c>
      <c r="Z56" s="16">
        <f>IF(AA56&gt;0,1,0)</f>
        <v>0</v>
      </c>
      <c r="AA56" s="16">
        <v>0</v>
      </c>
      <c r="AB56" s="16">
        <f t="array" ref="AB56">SUM(IF(N(ISNUMBER(IF(IF(N(ISBLANK($N$28:$R$147)),$N$28:$R$147,1)=1,$N$28:$R$147,0)))=0,1,0))</f>
        <v>0</v>
      </c>
      <c r="AC56" s="77" t="s">
        <v>120</v>
      </c>
      <c r="AQ56" s="83"/>
      <c r="AR56" s="83"/>
    </row>
    <row r="57" spans="1:44" x14ac:dyDescent="0.3">
      <c r="A57" s="40">
        <v>30</v>
      </c>
      <c r="B57" s="14"/>
      <c r="C57" s="15"/>
      <c r="D57" s="12">
        <f t="shared" si="9"/>
        <v>0</v>
      </c>
      <c r="E57" s="13">
        <f t="shared" si="2"/>
        <v>0</v>
      </c>
      <c r="F57" s="13">
        <f t="shared" si="3"/>
        <v>0</v>
      </c>
      <c r="G57" s="13"/>
      <c r="I57" s="15"/>
      <c r="J57" s="15"/>
      <c r="K57" s="36">
        <f t="shared" si="4"/>
        <v>0</v>
      </c>
      <c r="L57" s="36"/>
      <c r="M57" s="16">
        <v>30</v>
      </c>
      <c r="N57" s="57"/>
      <c r="O57" s="50"/>
      <c r="P57" s="50"/>
      <c r="Q57" s="50"/>
      <c r="R57" s="50"/>
      <c r="T57" s="37">
        <f t="shared" si="5"/>
        <v>0</v>
      </c>
      <c r="U57" s="38">
        <f t="shared" si="6"/>
        <v>0</v>
      </c>
      <c r="W57" s="39">
        <f t="shared" si="7"/>
        <v>0</v>
      </c>
      <c r="X57" s="38">
        <f t="shared" si="8"/>
        <v>0</v>
      </c>
      <c r="Z57" s="16">
        <f>IF(AA57&gt;0,1,0)</f>
        <v>0</v>
      </c>
      <c r="AA57" s="16">
        <v>0</v>
      </c>
      <c r="AB57" s="16">
        <f t="array" ref="AB57">SUM(IF(N(ISNUMBER(IF(IF(N(ISBLANK($B$11:$B$17)),$B$11:$B$17,1)=1,$B$11:$B$17,0)))=0,1,0))</f>
        <v>0</v>
      </c>
      <c r="AC57" s="77" t="s">
        <v>120</v>
      </c>
    </row>
    <row r="58" spans="1:44" x14ac:dyDescent="0.3">
      <c r="A58" s="40">
        <v>31</v>
      </c>
      <c r="B58" s="14"/>
      <c r="C58" s="15"/>
      <c r="D58" s="12">
        <f t="shared" si="9"/>
        <v>0</v>
      </c>
      <c r="E58" s="13">
        <f t="shared" si="2"/>
        <v>0</v>
      </c>
      <c r="F58" s="13">
        <f t="shared" si="3"/>
        <v>0</v>
      </c>
      <c r="G58" s="13"/>
      <c r="I58" s="15"/>
      <c r="J58" s="15"/>
      <c r="K58" s="36">
        <f t="shared" si="4"/>
        <v>0</v>
      </c>
      <c r="L58" s="36"/>
      <c r="M58" s="16">
        <v>31</v>
      </c>
      <c r="N58" s="57"/>
      <c r="O58" s="50"/>
      <c r="P58" s="50"/>
      <c r="Q58" s="50"/>
      <c r="R58" s="50"/>
      <c r="T58" s="37">
        <f t="shared" si="5"/>
        <v>0</v>
      </c>
      <c r="U58" s="38">
        <f t="shared" si="6"/>
        <v>0</v>
      </c>
      <c r="W58" s="39">
        <f t="shared" si="7"/>
        <v>0</v>
      </c>
      <c r="X58" s="38">
        <f t="shared" si="8"/>
        <v>0</v>
      </c>
    </row>
    <row r="59" spans="1:44" x14ac:dyDescent="0.3">
      <c r="A59" s="40">
        <v>32</v>
      </c>
      <c r="B59" s="14"/>
      <c r="C59" s="15"/>
      <c r="D59" s="12">
        <f t="shared" si="9"/>
        <v>0</v>
      </c>
      <c r="E59" s="13">
        <f t="shared" si="2"/>
        <v>0</v>
      </c>
      <c r="F59" s="13">
        <f t="shared" si="3"/>
        <v>0</v>
      </c>
      <c r="G59" s="13"/>
      <c r="I59" s="15"/>
      <c r="J59" s="15"/>
      <c r="K59" s="36">
        <f t="shared" si="4"/>
        <v>0</v>
      </c>
      <c r="L59" s="36"/>
      <c r="M59" s="16">
        <v>32</v>
      </c>
      <c r="N59" s="57"/>
      <c r="O59" s="50"/>
      <c r="P59" s="50"/>
      <c r="Q59" s="50"/>
      <c r="R59" s="50"/>
      <c r="T59" s="37">
        <f t="shared" si="5"/>
        <v>0</v>
      </c>
      <c r="U59" s="38">
        <f t="shared" si="6"/>
        <v>0</v>
      </c>
      <c r="W59" s="39">
        <f t="shared" si="7"/>
        <v>0</v>
      </c>
      <c r="X59" s="38">
        <f t="shared" si="8"/>
        <v>0</v>
      </c>
    </row>
    <row r="60" spans="1:44" x14ac:dyDescent="0.3">
      <c r="A60" s="40">
        <v>33</v>
      </c>
      <c r="B60" s="14"/>
      <c r="C60" s="15"/>
      <c r="D60" s="12">
        <f t="shared" si="9"/>
        <v>0</v>
      </c>
      <c r="E60" s="13">
        <f t="shared" ref="E60:E91" si="14">IF(A60&lt;=$B$11,D60*C60/IF(A60&lt;=$B$17,A60,$B$17),0)</f>
        <v>0</v>
      </c>
      <c r="F60" s="13">
        <f t="shared" ref="F60:F91" si="15">IF(A60&lt;=$B$11,IF(OR($B$7="PM",$B$7="PP",$B$6="Popular"),MAX(50%,E60),E60),0)</f>
        <v>0</v>
      </c>
      <c r="G60" s="13"/>
      <c r="I60" s="15"/>
      <c r="J60" s="15"/>
      <c r="K60" s="36">
        <f t="shared" ref="K60:K91" si="16">J60+I60+B60</f>
        <v>0</v>
      </c>
      <c r="L60" s="36"/>
      <c r="M60" s="16">
        <v>33</v>
      </c>
      <c r="N60" s="57"/>
      <c r="O60" s="50"/>
      <c r="P60" s="50"/>
      <c r="Q60" s="50"/>
      <c r="R60" s="50"/>
      <c r="T60" s="37">
        <f t="shared" ref="T60:T91" si="17">I60*$B$12</f>
        <v>0</v>
      </c>
      <c r="U60" s="38">
        <f t="shared" ref="U60:U91" si="18">$T60*(B$14+1)^-($A60-1)</f>
        <v>0</v>
      </c>
      <c r="W60" s="39">
        <f t="shared" ref="W60:W91" si="19">N60+O60+P60+Q60+R60</f>
        <v>0</v>
      </c>
      <c r="X60" s="38">
        <f t="shared" ref="X60:X91" si="20">$W60*(B$14+1)^-($A60-1)</f>
        <v>0</v>
      </c>
    </row>
    <row r="61" spans="1:44" x14ac:dyDescent="0.3">
      <c r="A61" s="40">
        <v>34</v>
      </c>
      <c r="B61" s="14"/>
      <c r="C61" s="15"/>
      <c r="D61" s="12">
        <f t="shared" ref="D61:D92" si="21">IF(A61&lt;=$B$11,(D60 + B61)*(1+$B$13),0)</f>
        <v>0</v>
      </c>
      <c r="E61" s="13">
        <f t="shared" si="14"/>
        <v>0</v>
      </c>
      <c r="F61" s="13">
        <f t="shared" si="15"/>
        <v>0</v>
      </c>
      <c r="G61" s="13"/>
      <c r="I61" s="15"/>
      <c r="J61" s="15"/>
      <c r="K61" s="36">
        <f t="shared" si="16"/>
        <v>0</v>
      </c>
      <c r="L61" s="36"/>
      <c r="M61" s="16">
        <v>34</v>
      </c>
      <c r="N61" s="57"/>
      <c r="O61" s="50"/>
      <c r="P61" s="50"/>
      <c r="Q61" s="50"/>
      <c r="R61" s="50"/>
      <c r="T61" s="37">
        <f t="shared" si="17"/>
        <v>0</v>
      </c>
      <c r="U61" s="38">
        <f t="shared" si="18"/>
        <v>0</v>
      </c>
      <c r="W61" s="39">
        <f t="shared" si="19"/>
        <v>0</v>
      </c>
      <c r="X61" s="38">
        <f t="shared" si="20"/>
        <v>0</v>
      </c>
    </row>
    <row r="62" spans="1:44" x14ac:dyDescent="0.3">
      <c r="A62" s="40">
        <v>35</v>
      </c>
      <c r="B62" s="14"/>
      <c r="C62" s="15"/>
      <c r="D62" s="12">
        <f t="shared" si="21"/>
        <v>0</v>
      </c>
      <c r="E62" s="13">
        <f t="shared" si="14"/>
        <v>0</v>
      </c>
      <c r="F62" s="13">
        <f t="shared" si="15"/>
        <v>0</v>
      </c>
      <c r="G62" s="13"/>
      <c r="I62" s="15"/>
      <c r="J62" s="15"/>
      <c r="K62" s="36">
        <f t="shared" si="16"/>
        <v>0</v>
      </c>
      <c r="L62" s="36"/>
      <c r="M62" s="16">
        <v>35</v>
      </c>
      <c r="N62" s="57"/>
      <c r="O62" s="50"/>
      <c r="P62" s="50"/>
      <c r="Q62" s="50"/>
      <c r="R62" s="50"/>
      <c r="T62" s="37">
        <f t="shared" si="17"/>
        <v>0</v>
      </c>
      <c r="U62" s="38">
        <f t="shared" si="18"/>
        <v>0</v>
      </c>
      <c r="W62" s="39">
        <f t="shared" si="19"/>
        <v>0</v>
      </c>
      <c r="X62" s="38">
        <f t="shared" si="20"/>
        <v>0</v>
      </c>
    </row>
    <row r="63" spans="1:44" x14ac:dyDescent="0.3">
      <c r="A63" s="40">
        <v>36</v>
      </c>
      <c r="B63" s="14"/>
      <c r="C63" s="15"/>
      <c r="D63" s="12">
        <f t="shared" si="21"/>
        <v>0</v>
      </c>
      <c r="E63" s="13">
        <f t="shared" si="14"/>
        <v>0</v>
      </c>
      <c r="F63" s="13">
        <f t="shared" si="15"/>
        <v>0</v>
      </c>
      <c r="G63" s="13"/>
      <c r="I63" s="15"/>
      <c r="J63" s="15"/>
      <c r="K63" s="36">
        <f t="shared" si="16"/>
        <v>0</v>
      </c>
      <c r="L63" s="36"/>
      <c r="M63" s="16">
        <v>36</v>
      </c>
      <c r="N63" s="57"/>
      <c r="O63" s="50"/>
      <c r="P63" s="50"/>
      <c r="Q63" s="50"/>
      <c r="R63" s="50"/>
      <c r="T63" s="37">
        <f t="shared" si="17"/>
        <v>0</v>
      </c>
      <c r="U63" s="38">
        <f t="shared" si="18"/>
        <v>0</v>
      </c>
      <c r="W63" s="39">
        <f t="shared" si="19"/>
        <v>0</v>
      </c>
      <c r="X63" s="38">
        <f t="shared" si="20"/>
        <v>0</v>
      </c>
    </row>
    <row r="64" spans="1:44" x14ac:dyDescent="0.3">
      <c r="A64" s="40">
        <v>37</v>
      </c>
      <c r="B64" s="14"/>
      <c r="C64" s="15"/>
      <c r="D64" s="12">
        <f t="shared" si="21"/>
        <v>0</v>
      </c>
      <c r="E64" s="13">
        <f t="shared" si="14"/>
        <v>0</v>
      </c>
      <c r="F64" s="13">
        <f t="shared" si="15"/>
        <v>0</v>
      </c>
      <c r="G64" s="13"/>
      <c r="I64" s="15"/>
      <c r="J64" s="15"/>
      <c r="K64" s="36">
        <f t="shared" si="16"/>
        <v>0</v>
      </c>
      <c r="L64" s="36"/>
      <c r="M64" s="16">
        <v>37</v>
      </c>
      <c r="N64" s="57"/>
      <c r="O64" s="50"/>
      <c r="P64" s="50"/>
      <c r="Q64" s="50"/>
      <c r="R64" s="50"/>
      <c r="T64" s="37">
        <f t="shared" si="17"/>
        <v>0</v>
      </c>
      <c r="U64" s="38">
        <f t="shared" si="18"/>
        <v>0</v>
      </c>
      <c r="W64" s="39">
        <f t="shared" si="19"/>
        <v>0</v>
      </c>
      <c r="X64" s="38">
        <f t="shared" si="20"/>
        <v>0</v>
      </c>
    </row>
    <row r="65" spans="1:34" x14ac:dyDescent="0.3">
      <c r="A65" s="40">
        <v>38</v>
      </c>
      <c r="B65" s="14"/>
      <c r="C65" s="15"/>
      <c r="D65" s="12">
        <f t="shared" si="21"/>
        <v>0</v>
      </c>
      <c r="E65" s="13">
        <f t="shared" si="14"/>
        <v>0</v>
      </c>
      <c r="F65" s="13">
        <f t="shared" si="15"/>
        <v>0</v>
      </c>
      <c r="G65" s="13"/>
      <c r="I65" s="15"/>
      <c r="J65" s="15"/>
      <c r="K65" s="36">
        <f t="shared" si="16"/>
        <v>0</v>
      </c>
      <c r="L65" s="36"/>
      <c r="M65" s="16">
        <v>38</v>
      </c>
      <c r="N65" s="57"/>
      <c r="O65" s="50"/>
      <c r="P65" s="50"/>
      <c r="Q65" s="50"/>
      <c r="R65" s="50"/>
      <c r="T65" s="37">
        <f t="shared" si="17"/>
        <v>0</v>
      </c>
      <c r="U65" s="38">
        <f t="shared" si="18"/>
        <v>0</v>
      </c>
      <c r="W65" s="39">
        <f t="shared" si="19"/>
        <v>0</v>
      </c>
      <c r="X65" s="38">
        <f t="shared" si="20"/>
        <v>0</v>
      </c>
    </row>
    <row r="66" spans="1:34" x14ac:dyDescent="0.3">
      <c r="A66" s="40">
        <v>39</v>
      </c>
      <c r="B66" s="14"/>
      <c r="C66" s="15"/>
      <c r="D66" s="12">
        <f t="shared" si="21"/>
        <v>0</v>
      </c>
      <c r="E66" s="13">
        <f t="shared" si="14"/>
        <v>0</v>
      </c>
      <c r="F66" s="13">
        <f t="shared" si="15"/>
        <v>0</v>
      </c>
      <c r="G66" s="13"/>
      <c r="I66" s="15"/>
      <c r="J66" s="15"/>
      <c r="K66" s="36">
        <f t="shared" si="16"/>
        <v>0</v>
      </c>
      <c r="L66" s="36"/>
      <c r="M66" s="16">
        <v>39</v>
      </c>
      <c r="N66" s="57"/>
      <c r="O66" s="50"/>
      <c r="P66" s="50"/>
      <c r="Q66" s="50"/>
      <c r="R66" s="50"/>
      <c r="T66" s="37">
        <f t="shared" si="17"/>
        <v>0</v>
      </c>
      <c r="U66" s="38">
        <f t="shared" si="18"/>
        <v>0</v>
      </c>
      <c r="W66" s="39">
        <f t="shared" si="19"/>
        <v>0</v>
      </c>
      <c r="X66" s="38">
        <f t="shared" si="20"/>
        <v>0</v>
      </c>
    </row>
    <row r="67" spans="1:34" x14ac:dyDescent="0.3">
      <c r="A67" s="40">
        <v>40</v>
      </c>
      <c r="B67" s="14"/>
      <c r="C67" s="15"/>
      <c r="D67" s="12">
        <f t="shared" si="21"/>
        <v>0</v>
      </c>
      <c r="E67" s="13">
        <f t="shared" si="14"/>
        <v>0</v>
      </c>
      <c r="F67" s="13">
        <f t="shared" si="15"/>
        <v>0</v>
      </c>
      <c r="G67" s="13"/>
      <c r="I67" s="15"/>
      <c r="J67" s="15"/>
      <c r="K67" s="36">
        <f t="shared" si="16"/>
        <v>0</v>
      </c>
      <c r="L67" s="36"/>
      <c r="M67" s="16">
        <v>40</v>
      </c>
      <c r="N67" s="57"/>
      <c r="O67" s="50"/>
      <c r="P67" s="50"/>
      <c r="Q67" s="50"/>
      <c r="R67" s="50"/>
      <c r="T67" s="37">
        <f t="shared" si="17"/>
        <v>0</v>
      </c>
      <c r="U67" s="38">
        <f t="shared" si="18"/>
        <v>0</v>
      </c>
      <c r="W67" s="39">
        <f t="shared" si="19"/>
        <v>0</v>
      </c>
      <c r="X67" s="38">
        <f t="shared" si="20"/>
        <v>0</v>
      </c>
      <c r="AC67" s="90" t="s">
        <v>124</v>
      </c>
      <c r="AD67" s="91"/>
      <c r="AE67" s="91"/>
      <c r="AF67" s="91"/>
      <c r="AG67" s="91"/>
      <c r="AH67" s="92"/>
    </row>
    <row r="68" spans="1:34" ht="28.8" x14ac:dyDescent="0.3">
      <c r="A68" s="40">
        <v>41</v>
      </c>
      <c r="B68" s="14"/>
      <c r="C68" s="15"/>
      <c r="D68" s="12">
        <f t="shared" si="21"/>
        <v>0</v>
      </c>
      <c r="E68" s="13">
        <f t="shared" si="14"/>
        <v>0</v>
      </c>
      <c r="F68" s="13">
        <f t="shared" si="15"/>
        <v>0</v>
      </c>
      <c r="G68" s="13"/>
      <c r="I68" s="15"/>
      <c r="J68" s="15"/>
      <c r="K68" s="36">
        <f t="shared" si="16"/>
        <v>0</v>
      </c>
      <c r="L68" s="36"/>
      <c r="M68" s="16">
        <v>41</v>
      </c>
      <c r="N68" s="57"/>
      <c r="O68" s="50"/>
      <c r="P68" s="50"/>
      <c r="Q68" s="50"/>
      <c r="R68" s="50"/>
      <c r="T68" s="37">
        <f t="shared" si="17"/>
        <v>0</v>
      </c>
      <c r="U68" s="38">
        <f t="shared" si="18"/>
        <v>0</v>
      </c>
      <c r="W68" s="39">
        <f t="shared" si="19"/>
        <v>0</v>
      </c>
      <c r="X68" s="38">
        <f t="shared" si="20"/>
        <v>0</v>
      </c>
      <c r="AC68" s="65" t="s">
        <v>128</v>
      </c>
      <c r="AD68" s="66"/>
      <c r="AE68" s="64" t="s">
        <v>126</v>
      </c>
      <c r="AF68" s="66"/>
      <c r="AG68" s="66"/>
      <c r="AH68" s="67"/>
    </row>
    <row r="69" spans="1:34" x14ac:dyDescent="0.3">
      <c r="A69" s="40">
        <v>42</v>
      </c>
      <c r="B69" s="14"/>
      <c r="C69" s="15"/>
      <c r="D69" s="12">
        <f t="shared" si="21"/>
        <v>0</v>
      </c>
      <c r="E69" s="13">
        <f t="shared" si="14"/>
        <v>0</v>
      </c>
      <c r="F69" s="13">
        <f t="shared" si="15"/>
        <v>0</v>
      </c>
      <c r="G69" s="13"/>
      <c r="I69" s="15"/>
      <c r="J69" s="15"/>
      <c r="K69" s="36">
        <f t="shared" si="16"/>
        <v>0</v>
      </c>
      <c r="L69" s="36"/>
      <c r="M69" s="16">
        <v>42</v>
      </c>
      <c r="N69" s="57"/>
      <c r="O69" s="50"/>
      <c r="P69" s="50"/>
      <c r="Q69" s="50"/>
      <c r="R69" s="50"/>
      <c r="T69" s="37">
        <f t="shared" si="17"/>
        <v>0</v>
      </c>
      <c r="U69" s="38">
        <f t="shared" si="18"/>
        <v>0</v>
      </c>
      <c r="W69" s="39">
        <f t="shared" si="19"/>
        <v>0</v>
      </c>
      <c r="X69" s="38">
        <f t="shared" si="20"/>
        <v>0</v>
      </c>
      <c r="AC69" s="68" t="s">
        <v>129</v>
      </c>
      <c r="AD69" s="5" t="e">
        <f t="array" aca="1" ref="AD69" ca="1">IF(AND(OFFSET(Dados!$C$28,0,0,$AH$69)&gt;=90%),0,1)</f>
        <v>#REF!</v>
      </c>
      <c r="AE69" s="63">
        <v>0.9</v>
      </c>
      <c r="AF69" s="5"/>
      <c r="AG69" s="6" t="s">
        <v>103</v>
      </c>
      <c r="AH69" s="59">
        <f>ROUNDDOWN(Dados!$B$11/2,0)</f>
        <v>0</v>
      </c>
    </row>
    <row r="70" spans="1:34" ht="13.2" customHeight="1" x14ac:dyDescent="0.3">
      <c r="A70" s="40">
        <v>43</v>
      </c>
      <c r="B70" s="14"/>
      <c r="C70" s="15"/>
      <c r="D70" s="12">
        <f t="shared" si="21"/>
        <v>0</v>
      </c>
      <c r="E70" s="13">
        <f t="shared" si="14"/>
        <v>0</v>
      </c>
      <c r="F70" s="13">
        <f t="shared" si="15"/>
        <v>0</v>
      </c>
      <c r="G70" s="13"/>
      <c r="I70" s="15"/>
      <c r="J70" s="15"/>
      <c r="K70" s="36">
        <f t="shared" si="16"/>
        <v>0</v>
      </c>
      <c r="L70" s="36"/>
      <c r="M70" s="16">
        <v>43</v>
      </c>
      <c r="N70" s="57"/>
      <c r="O70" s="50"/>
      <c r="P70" s="50"/>
      <c r="Q70" s="50"/>
      <c r="R70" s="50"/>
      <c r="T70" s="37">
        <f t="shared" si="17"/>
        <v>0</v>
      </c>
      <c r="U70" s="38">
        <f t="shared" si="18"/>
        <v>0</v>
      </c>
      <c r="W70" s="39">
        <f t="shared" si="19"/>
        <v>0</v>
      </c>
      <c r="X70" s="38">
        <f t="shared" si="20"/>
        <v>0</v>
      </c>
      <c r="AC70" s="68" t="s">
        <v>130</v>
      </c>
      <c r="AD70" s="5">
        <f t="array" aca="1" ref="AD70" ca="1">IF(AH70&gt;AH69,IF(AND(OFFSET(Dados!$C$28,$AH$69,0,$AH$70-$AH$69)&gt;=95%),0,1),0)</f>
        <v>0</v>
      </c>
      <c r="AE70" s="58">
        <v>0.95</v>
      </c>
      <c r="AF70" s="5"/>
      <c r="AG70" s="6" t="s">
        <v>104</v>
      </c>
      <c r="AH70" s="59">
        <f>ROUNDDOWN(Dados!$B$11*3/4,0)</f>
        <v>0</v>
      </c>
    </row>
    <row r="71" spans="1:34" x14ac:dyDescent="0.3">
      <c r="A71" s="40">
        <v>44</v>
      </c>
      <c r="B71" s="14"/>
      <c r="C71" s="15"/>
      <c r="D71" s="12">
        <f t="shared" si="21"/>
        <v>0</v>
      </c>
      <c r="E71" s="13">
        <f t="shared" si="14"/>
        <v>0</v>
      </c>
      <c r="F71" s="13">
        <f t="shared" si="15"/>
        <v>0</v>
      </c>
      <c r="G71" s="13"/>
      <c r="I71" s="15"/>
      <c r="J71" s="15"/>
      <c r="K71" s="36">
        <f t="shared" si="16"/>
        <v>0</v>
      </c>
      <c r="L71" s="36"/>
      <c r="M71" s="16">
        <v>44</v>
      </c>
      <c r="N71" s="57"/>
      <c r="O71" s="50"/>
      <c r="P71" s="50"/>
      <c r="Q71" s="50"/>
      <c r="R71" s="50"/>
      <c r="T71" s="37">
        <f t="shared" si="17"/>
        <v>0</v>
      </c>
      <c r="U71" s="38">
        <f t="shared" si="18"/>
        <v>0</v>
      </c>
      <c r="W71" s="39">
        <f t="shared" si="19"/>
        <v>0</v>
      </c>
      <c r="X71" s="38">
        <f t="shared" si="20"/>
        <v>0</v>
      </c>
      <c r="AC71" s="69" t="s">
        <v>131</v>
      </c>
      <c r="AD71" s="70" t="e">
        <f t="array" aca="1" ref="AD71" ca="1">IF(AND(OFFSET(Dados!$C$28,$AH$70,0,Dados!$B$11-$AH$70)&gt;=100%),0,1)</f>
        <v>#REF!</v>
      </c>
      <c r="AE71" s="71">
        <v>1</v>
      </c>
      <c r="AF71" s="70"/>
      <c r="AG71" s="70"/>
      <c r="AH71" s="72"/>
    </row>
    <row r="72" spans="1:34" x14ac:dyDescent="0.3">
      <c r="A72" s="40">
        <v>45</v>
      </c>
      <c r="B72" s="14"/>
      <c r="C72" s="15"/>
      <c r="D72" s="12">
        <f t="shared" si="21"/>
        <v>0</v>
      </c>
      <c r="E72" s="13">
        <f t="shared" si="14"/>
        <v>0</v>
      </c>
      <c r="F72" s="13">
        <f t="shared" si="15"/>
        <v>0</v>
      </c>
      <c r="G72" s="13"/>
      <c r="I72" s="15"/>
      <c r="J72" s="15"/>
      <c r="K72" s="36">
        <f t="shared" si="16"/>
        <v>0</v>
      </c>
      <c r="L72" s="36"/>
      <c r="M72" s="16">
        <v>45</v>
      </c>
      <c r="N72" s="57"/>
      <c r="O72" s="50"/>
      <c r="P72" s="50"/>
      <c r="Q72" s="50"/>
      <c r="R72" s="50"/>
      <c r="T72" s="37">
        <f t="shared" si="17"/>
        <v>0</v>
      </c>
      <c r="U72" s="38">
        <f t="shared" si="18"/>
        <v>0</v>
      </c>
      <c r="W72" s="39">
        <f t="shared" si="19"/>
        <v>0</v>
      </c>
      <c r="X72" s="38">
        <f t="shared" si="20"/>
        <v>0</v>
      </c>
      <c r="AC72"/>
      <c r="AD72"/>
      <c r="AE72"/>
      <c r="AF72"/>
      <c r="AG72"/>
      <c r="AH72"/>
    </row>
    <row r="73" spans="1:34" x14ac:dyDescent="0.3">
      <c r="A73" s="40">
        <v>46</v>
      </c>
      <c r="B73" s="14"/>
      <c r="C73" s="15"/>
      <c r="D73" s="12">
        <f t="shared" si="21"/>
        <v>0</v>
      </c>
      <c r="E73" s="13">
        <f t="shared" si="14"/>
        <v>0</v>
      </c>
      <c r="F73" s="13">
        <f t="shared" si="15"/>
        <v>0</v>
      </c>
      <c r="G73" s="13"/>
      <c r="I73" s="15"/>
      <c r="J73" s="15"/>
      <c r="K73" s="36">
        <f t="shared" si="16"/>
        <v>0</v>
      </c>
      <c r="L73" s="36"/>
      <c r="M73" s="16">
        <v>46</v>
      </c>
      <c r="N73" s="57"/>
      <c r="O73" s="50"/>
      <c r="P73" s="50"/>
      <c r="Q73" s="50"/>
      <c r="R73" s="50"/>
      <c r="T73" s="37">
        <f t="shared" si="17"/>
        <v>0</v>
      </c>
      <c r="U73" s="38">
        <f t="shared" si="18"/>
        <v>0</v>
      </c>
      <c r="W73" s="39">
        <f t="shared" si="19"/>
        <v>0</v>
      </c>
      <c r="X73" s="38">
        <f t="shared" si="20"/>
        <v>0</v>
      </c>
      <c r="AC73" s="73" t="s">
        <v>74</v>
      </c>
      <c r="AD73" s="66"/>
      <c r="AE73" s="67" t="e">
        <f ca="1">Dados!U25</f>
        <v>#REF!</v>
      </c>
      <c r="AF73"/>
      <c r="AG73"/>
      <c r="AH73"/>
    </row>
    <row r="74" spans="1:34" x14ac:dyDescent="0.3">
      <c r="A74" s="40">
        <v>47</v>
      </c>
      <c r="B74" s="14"/>
      <c r="C74" s="15"/>
      <c r="D74" s="12">
        <f t="shared" si="21"/>
        <v>0</v>
      </c>
      <c r="E74" s="13">
        <f t="shared" si="14"/>
        <v>0</v>
      </c>
      <c r="F74" s="13">
        <f t="shared" si="15"/>
        <v>0</v>
      </c>
      <c r="G74" s="13"/>
      <c r="I74" s="15"/>
      <c r="J74" s="15"/>
      <c r="K74" s="36">
        <f t="shared" si="16"/>
        <v>0</v>
      </c>
      <c r="L74" s="36"/>
      <c r="M74" s="16">
        <v>47</v>
      </c>
      <c r="N74" s="57"/>
      <c r="O74" s="50"/>
      <c r="P74" s="50"/>
      <c r="Q74" s="50"/>
      <c r="R74" s="50"/>
      <c r="T74" s="37">
        <f t="shared" si="17"/>
        <v>0</v>
      </c>
      <c r="U74" s="38">
        <f t="shared" si="18"/>
        <v>0</v>
      </c>
      <c r="W74" s="39">
        <f t="shared" si="19"/>
        <v>0</v>
      </c>
      <c r="X74" s="38">
        <f t="shared" si="20"/>
        <v>0</v>
      </c>
      <c r="AC74" s="4" t="s">
        <v>77</v>
      </c>
      <c r="AD74" s="5"/>
      <c r="AE74" s="74" t="e">
        <f ca="1">Dados!X25</f>
        <v>#REF!</v>
      </c>
      <c r="AF74"/>
      <c r="AG74"/>
      <c r="AH74"/>
    </row>
    <row r="75" spans="1:34" x14ac:dyDescent="0.3">
      <c r="A75" s="40">
        <v>48</v>
      </c>
      <c r="B75" s="14"/>
      <c r="C75" s="15"/>
      <c r="D75" s="12">
        <f t="shared" si="21"/>
        <v>0</v>
      </c>
      <c r="E75" s="13">
        <f t="shared" si="14"/>
        <v>0</v>
      </c>
      <c r="F75" s="13">
        <f t="shared" si="15"/>
        <v>0</v>
      </c>
      <c r="G75" s="13"/>
      <c r="I75" s="15"/>
      <c r="J75" s="15"/>
      <c r="K75" s="36">
        <f t="shared" si="16"/>
        <v>0</v>
      </c>
      <c r="L75" s="36"/>
      <c r="M75" s="16">
        <v>48</v>
      </c>
      <c r="N75" s="57"/>
      <c r="O75" s="50"/>
      <c r="P75" s="50"/>
      <c r="Q75" s="50"/>
      <c r="R75" s="50"/>
      <c r="T75" s="37">
        <f t="shared" si="17"/>
        <v>0</v>
      </c>
      <c r="U75" s="38">
        <f t="shared" si="18"/>
        <v>0</v>
      </c>
      <c r="W75" s="39">
        <f t="shared" si="19"/>
        <v>0</v>
      </c>
      <c r="X75" s="38">
        <f t="shared" si="20"/>
        <v>0</v>
      </c>
      <c r="AC75" s="4" t="s">
        <v>96</v>
      </c>
      <c r="AD75" s="5"/>
      <c r="AE75" s="74" t="e">
        <f ca="1">MIN(AE73:AE74)</f>
        <v>#REF!</v>
      </c>
      <c r="AF75"/>
      <c r="AG75"/>
      <c r="AH75"/>
    </row>
    <row r="76" spans="1:34" x14ac:dyDescent="0.3">
      <c r="A76" s="40">
        <v>49</v>
      </c>
      <c r="B76" s="14"/>
      <c r="C76" s="15"/>
      <c r="D76" s="12">
        <f t="shared" si="21"/>
        <v>0</v>
      </c>
      <c r="E76" s="13">
        <f t="shared" si="14"/>
        <v>0</v>
      </c>
      <c r="F76" s="13">
        <f t="shared" si="15"/>
        <v>0</v>
      </c>
      <c r="G76" s="13"/>
      <c r="I76" s="15"/>
      <c r="J76" s="15"/>
      <c r="K76" s="36">
        <f t="shared" si="16"/>
        <v>0</v>
      </c>
      <c r="L76" s="36"/>
      <c r="M76" s="16">
        <v>49</v>
      </c>
      <c r="N76" s="57"/>
      <c r="O76" s="50"/>
      <c r="P76" s="50"/>
      <c r="Q76" s="50"/>
      <c r="R76" s="50"/>
      <c r="T76" s="37">
        <f t="shared" si="17"/>
        <v>0</v>
      </c>
      <c r="U76" s="38">
        <f t="shared" si="18"/>
        <v>0</v>
      </c>
      <c r="W76" s="39">
        <f t="shared" si="19"/>
        <v>0</v>
      </c>
      <c r="X76" s="38">
        <f t="shared" si="20"/>
        <v>0</v>
      </c>
      <c r="AC76" s="4" t="s">
        <v>92</v>
      </c>
      <c r="AD76" s="5"/>
      <c r="AE76" s="75" t="e">
        <f ca="1">AE75/(Dados!$B$17*Dados!$B$12)</f>
        <v>#REF!</v>
      </c>
      <c r="AF76"/>
      <c r="AG76"/>
      <c r="AH76"/>
    </row>
    <row r="77" spans="1:34" x14ac:dyDescent="0.3">
      <c r="A77" s="40">
        <v>50</v>
      </c>
      <c r="B77" s="14"/>
      <c r="C77" s="15"/>
      <c r="D77" s="12">
        <f t="shared" si="21"/>
        <v>0</v>
      </c>
      <c r="E77" s="13">
        <f t="shared" si="14"/>
        <v>0</v>
      </c>
      <c r="F77" s="13">
        <f t="shared" si="15"/>
        <v>0</v>
      </c>
      <c r="G77" s="13"/>
      <c r="I77" s="15"/>
      <c r="J77" s="15"/>
      <c r="K77" s="36">
        <f t="shared" si="16"/>
        <v>0</v>
      </c>
      <c r="L77" s="36"/>
      <c r="M77" s="16">
        <v>50</v>
      </c>
      <c r="N77" s="57"/>
      <c r="O77" s="50"/>
      <c r="P77" s="50"/>
      <c r="Q77" s="50"/>
      <c r="R77" s="50"/>
      <c r="T77" s="37">
        <f t="shared" si="17"/>
        <v>0</v>
      </c>
      <c r="U77" s="38">
        <f t="shared" si="18"/>
        <v>0</v>
      </c>
      <c r="W77" s="39">
        <f t="shared" si="19"/>
        <v>0</v>
      </c>
      <c r="X77" s="38">
        <f t="shared" si="20"/>
        <v>0</v>
      </c>
      <c r="AC77" s="6" t="s">
        <v>125</v>
      </c>
      <c r="AD77" s="76"/>
      <c r="AE77" s="7">
        <v>1E-3</v>
      </c>
      <c r="AF77"/>
      <c r="AG77"/>
      <c r="AH77"/>
    </row>
    <row r="78" spans="1:34" x14ac:dyDescent="0.3">
      <c r="A78" s="40">
        <v>51</v>
      </c>
      <c r="B78" s="14"/>
      <c r="C78" s="15"/>
      <c r="D78" s="12">
        <f t="shared" si="21"/>
        <v>0</v>
      </c>
      <c r="E78" s="13">
        <f t="shared" si="14"/>
        <v>0</v>
      </c>
      <c r="F78" s="13">
        <f t="shared" si="15"/>
        <v>0</v>
      </c>
      <c r="G78" s="13"/>
      <c r="I78" s="15"/>
      <c r="J78" s="15"/>
      <c r="K78" s="36">
        <f t="shared" si="16"/>
        <v>0</v>
      </c>
      <c r="L78" s="36"/>
      <c r="M78" s="16">
        <v>51</v>
      </c>
      <c r="N78" s="57"/>
      <c r="O78" s="50"/>
      <c r="P78" s="50"/>
      <c r="Q78" s="50"/>
      <c r="R78" s="50"/>
      <c r="T78" s="37">
        <f t="shared" si="17"/>
        <v>0</v>
      </c>
      <c r="U78" s="38">
        <f t="shared" si="18"/>
        <v>0</v>
      </c>
      <c r="W78" s="39">
        <f t="shared" si="19"/>
        <v>0</v>
      </c>
      <c r="X78" s="38">
        <f t="shared" si="20"/>
        <v>0</v>
      </c>
      <c r="AC78"/>
      <c r="AD78"/>
      <c r="AE78"/>
      <c r="AF78"/>
      <c r="AG78"/>
      <c r="AH78"/>
    </row>
    <row r="79" spans="1:34" x14ac:dyDescent="0.3">
      <c r="A79" s="40">
        <v>52</v>
      </c>
      <c r="B79" s="14"/>
      <c r="C79" s="15"/>
      <c r="D79" s="12">
        <f t="shared" si="21"/>
        <v>0</v>
      </c>
      <c r="E79" s="13">
        <f t="shared" si="14"/>
        <v>0</v>
      </c>
      <c r="F79" s="13">
        <f t="shared" si="15"/>
        <v>0</v>
      </c>
      <c r="G79" s="13"/>
      <c r="I79" s="15"/>
      <c r="J79" s="15"/>
      <c r="K79" s="36">
        <f t="shared" si="16"/>
        <v>0</v>
      </c>
      <c r="L79" s="36"/>
      <c r="M79" s="16">
        <v>52</v>
      </c>
      <c r="N79" s="57"/>
      <c r="O79" s="50"/>
      <c r="P79" s="50"/>
      <c r="Q79" s="50"/>
      <c r="R79" s="50"/>
      <c r="T79" s="37">
        <f t="shared" si="17"/>
        <v>0</v>
      </c>
      <c r="U79" s="38">
        <f t="shared" si="18"/>
        <v>0</v>
      </c>
      <c r="W79" s="39">
        <f t="shared" si="19"/>
        <v>0</v>
      </c>
      <c r="X79" s="38">
        <f t="shared" si="20"/>
        <v>0</v>
      </c>
      <c r="AC79" s="73" t="s">
        <v>7</v>
      </c>
      <c r="AD79" s="66"/>
      <c r="AE79" s="67" t="e">
        <f ca="1">LARGE(OFFSET(Dados!$W$28,0,0,Dados!$B$11),1)</f>
        <v>#REF!</v>
      </c>
      <c r="AF79"/>
      <c r="AG79"/>
      <c r="AH79"/>
    </row>
    <row r="80" spans="1:34" x14ac:dyDescent="0.3">
      <c r="A80" s="40">
        <v>53</v>
      </c>
      <c r="B80" s="14"/>
      <c r="C80" s="15"/>
      <c r="D80" s="12">
        <f t="shared" si="21"/>
        <v>0</v>
      </c>
      <c r="E80" s="13">
        <f t="shared" si="14"/>
        <v>0</v>
      </c>
      <c r="F80" s="13">
        <f t="shared" si="15"/>
        <v>0</v>
      </c>
      <c r="G80" s="13"/>
      <c r="I80" s="15"/>
      <c r="J80" s="15"/>
      <c r="K80" s="36">
        <f t="shared" si="16"/>
        <v>0</v>
      </c>
      <c r="L80" s="36"/>
      <c r="M80" s="16">
        <v>53</v>
      </c>
      <c r="N80" s="57"/>
      <c r="O80" s="50"/>
      <c r="P80" s="50"/>
      <c r="Q80" s="50"/>
      <c r="R80" s="50"/>
      <c r="T80" s="37">
        <f t="shared" si="17"/>
        <v>0</v>
      </c>
      <c r="U80" s="38">
        <f t="shared" si="18"/>
        <v>0</v>
      </c>
      <c r="W80" s="39">
        <f t="shared" si="19"/>
        <v>0</v>
      </c>
      <c r="X80" s="38">
        <f t="shared" si="20"/>
        <v>0</v>
      </c>
      <c r="AC80" s="4" t="s">
        <v>8</v>
      </c>
      <c r="AD80" s="5"/>
      <c r="AE80" s="74" t="e">
        <f ca="1" xml:space="preserve"> AE79*Dados!$B$15</f>
        <v>#REF!</v>
      </c>
      <c r="AF80"/>
      <c r="AG80"/>
      <c r="AH80"/>
    </row>
    <row r="81" spans="1:34" x14ac:dyDescent="0.3">
      <c r="A81" s="40">
        <v>54</v>
      </c>
      <c r="B81" s="14"/>
      <c r="C81" s="15"/>
      <c r="D81" s="12">
        <f t="shared" si="21"/>
        <v>0</v>
      </c>
      <c r="E81" s="13">
        <f t="shared" si="14"/>
        <v>0</v>
      </c>
      <c r="F81" s="13">
        <f t="shared" si="15"/>
        <v>0</v>
      </c>
      <c r="G81" s="13"/>
      <c r="I81" s="15"/>
      <c r="J81" s="15"/>
      <c r="K81" s="36">
        <f t="shared" si="16"/>
        <v>0</v>
      </c>
      <c r="L81" s="36"/>
      <c r="M81" s="16">
        <v>54</v>
      </c>
      <c r="N81" s="57"/>
      <c r="O81" s="50"/>
      <c r="P81" s="50"/>
      <c r="Q81" s="50"/>
      <c r="R81" s="50"/>
      <c r="T81" s="37">
        <f t="shared" si="17"/>
        <v>0</v>
      </c>
      <c r="U81" s="38">
        <f t="shared" si="18"/>
        <v>0</v>
      </c>
      <c r="W81" s="39">
        <f t="shared" si="19"/>
        <v>0</v>
      </c>
      <c r="X81" s="38">
        <f t="shared" si="20"/>
        <v>0</v>
      </c>
      <c r="AC81" s="6" t="s">
        <v>56</v>
      </c>
      <c r="AD81" s="76"/>
      <c r="AE81" s="59" t="e">
        <f>VLOOKUP($B$4,'Patrimônio Líquido'!A3:C20,3,0)</f>
        <v>#N/A</v>
      </c>
      <c r="AF81"/>
      <c r="AG81"/>
      <c r="AH81"/>
    </row>
    <row r="82" spans="1:34" x14ac:dyDescent="0.3">
      <c r="A82" s="40">
        <v>55</v>
      </c>
      <c r="B82" s="14"/>
      <c r="C82" s="15"/>
      <c r="D82" s="12">
        <f t="shared" si="21"/>
        <v>0</v>
      </c>
      <c r="E82" s="13">
        <f t="shared" si="14"/>
        <v>0</v>
      </c>
      <c r="F82" s="13">
        <f t="shared" si="15"/>
        <v>0</v>
      </c>
      <c r="G82" s="13"/>
      <c r="I82" s="15"/>
      <c r="J82" s="15"/>
      <c r="K82" s="36">
        <f t="shared" si="16"/>
        <v>0</v>
      </c>
      <c r="L82" s="36"/>
      <c r="M82" s="16">
        <v>55</v>
      </c>
      <c r="N82" s="57"/>
      <c r="O82" s="50"/>
      <c r="P82" s="50"/>
      <c r="Q82" s="50"/>
      <c r="R82" s="50"/>
      <c r="T82" s="37">
        <f t="shared" si="17"/>
        <v>0</v>
      </c>
      <c r="U82" s="38">
        <f t="shared" si="18"/>
        <v>0</v>
      </c>
      <c r="W82" s="39">
        <f t="shared" si="19"/>
        <v>0</v>
      </c>
      <c r="X82" s="38">
        <f t="shared" si="20"/>
        <v>0</v>
      </c>
    </row>
    <row r="83" spans="1:34" x14ac:dyDescent="0.3">
      <c r="A83" s="40">
        <v>56</v>
      </c>
      <c r="B83" s="14"/>
      <c r="C83" s="15"/>
      <c r="D83" s="12">
        <f t="shared" si="21"/>
        <v>0</v>
      </c>
      <c r="E83" s="13">
        <f t="shared" si="14"/>
        <v>0</v>
      </c>
      <c r="F83" s="13">
        <f t="shared" si="15"/>
        <v>0</v>
      </c>
      <c r="G83" s="13"/>
      <c r="I83" s="15"/>
      <c r="J83" s="15"/>
      <c r="K83" s="36">
        <f t="shared" si="16"/>
        <v>0</v>
      </c>
      <c r="L83" s="36"/>
      <c r="M83" s="16">
        <v>56</v>
      </c>
      <c r="N83" s="57"/>
      <c r="O83" s="50"/>
      <c r="P83" s="50"/>
      <c r="Q83" s="50"/>
      <c r="R83" s="50"/>
      <c r="T83" s="37">
        <f t="shared" si="17"/>
        <v>0</v>
      </c>
      <c r="U83" s="38">
        <f t="shared" si="18"/>
        <v>0</v>
      </c>
      <c r="W83" s="39">
        <f t="shared" si="19"/>
        <v>0</v>
      </c>
      <c r="X83" s="38">
        <f t="shared" si="20"/>
        <v>0</v>
      </c>
      <c r="AA83" s="16" t="e">
        <f ca="1">AB83</f>
        <v>#REF!</v>
      </c>
      <c r="AB83" s="1" t="e">
        <f ca="1" xml:space="preserve"> IF(AND(Dados!$B$6 = "Popular", $AE$76 &lt; 5%), 1, 0)</f>
        <v>#REF!</v>
      </c>
      <c r="AC83" s="4" t="s">
        <v>95</v>
      </c>
      <c r="AD83"/>
      <c r="AE83"/>
    </row>
    <row r="84" spans="1:34" x14ac:dyDescent="0.3">
      <c r="A84" s="40">
        <v>57</v>
      </c>
      <c r="B84" s="14"/>
      <c r="C84" s="15"/>
      <c r="D84" s="12">
        <f t="shared" si="21"/>
        <v>0</v>
      </c>
      <c r="E84" s="13">
        <f t="shared" si="14"/>
        <v>0</v>
      </c>
      <c r="F84" s="13">
        <f t="shared" si="15"/>
        <v>0</v>
      </c>
      <c r="G84" s="13"/>
      <c r="I84" s="15"/>
      <c r="J84" s="15"/>
      <c r="K84" s="36">
        <f t="shared" si="16"/>
        <v>0</v>
      </c>
      <c r="L84" s="36"/>
      <c r="M84" s="16">
        <v>57</v>
      </c>
      <c r="N84" s="57"/>
      <c r="O84" s="50"/>
      <c r="P84" s="50"/>
      <c r="Q84" s="50"/>
      <c r="R84" s="50"/>
      <c r="T84" s="37">
        <f t="shared" si="17"/>
        <v>0</v>
      </c>
      <c r="U84" s="38">
        <f t="shared" si="18"/>
        <v>0</v>
      </c>
      <c r="W84" s="39">
        <f t="shared" si="19"/>
        <v>0</v>
      </c>
      <c r="X84" s="38">
        <f t="shared" si="20"/>
        <v>0</v>
      </c>
      <c r="Z84"/>
      <c r="AA84" s="16" t="e">
        <f t="shared" ref="AA84:AA110" ca="1" si="22">AB84</f>
        <v>#REF!</v>
      </c>
      <c r="AB84" s="1" t="e">
        <f ca="1">IF(ABS(AE73-AE74)/IF(AE73=0,1,AE73)&lt;AE77,0,1)</f>
        <v>#REF!</v>
      </c>
      <c r="AC84" s="4" t="s">
        <v>14</v>
      </c>
      <c r="AD84"/>
      <c r="AE84"/>
    </row>
    <row r="85" spans="1:34" x14ac:dyDescent="0.3">
      <c r="A85" s="40">
        <v>58</v>
      </c>
      <c r="B85" s="14"/>
      <c r="C85" s="15"/>
      <c r="D85" s="12">
        <f t="shared" si="21"/>
        <v>0</v>
      </c>
      <c r="E85" s="13">
        <f t="shared" si="14"/>
        <v>0</v>
      </c>
      <c r="F85" s="13">
        <f t="shared" si="15"/>
        <v>0</v>
      </c>
      <c r="G85" s="13"/>
      <c r="I85" s="15"/>
      <c r="J85" s="15"/>
      <c r="K85" s="36">
        <f t="shared" si="16"/>
        <v>0</v>
      </c>
      <c r="L85" s="36"/>
      <c r="M85" s="16">
        <v>58</v>
      </c>
      <c r="N85" s="57"/>
      <c r="O85" s="50"/>
      <c r="P85" s="50"/>
      <c r="Q85" s="50"/>
      <c r="R85" s="50"/>
      <c r="T85" s="37">
        <f t="shared" si="17"/>
        <v>0</v>
      </c>
      <c r="U85" s="38">
        <f t="shared" si="18"/>
        <v>0</v>
      </c>
      <c r="W85" s="39">
        <f t="shared" si="19"/>
        <v>0</v>
      </c>
      <c r="X85" s="38">
        <f t="shared" si="20"/>
        <v>0</v>
      </c>
      <c r="AA85" s="16" t="e">
        <f t="shared" ca="1" si="22"/>
        <v>#REF!</v>
      </c>
      <c r="AB85" s="1" t="e">
        <f ca="1">IF(AND(Dados!$B$6="Popular",Dados!$B$7="PU",SUM(OFFSET(Dados!$B$28,0,0,Dados!$B$17))/Dados!$B$17&lt;50%),1,0)</f>
        <v>#REF!</v>
      </c>
      <c r="AC85" t="s">
        <v>107</v>
      </c>
      <c r="AD85"/>
      <c r="AE85"/>
    </row>
    <row r="86" spans="1:34" x14ac:dyDescent="0.3">
      <c r="A86" s="40">
        <v>59</v>
      </c>
      <c r="B86" s="14"/>
      <c r="C86" s="15"/>
      <c r="D86" s="12">
        <f t="shared" si="21"/>
        <v>0</v>
      </c>
      <c r="E86" s="13">
        <f t="shared" si="14"/>
        <v>0</v>
      </c>
      <c r="F86" s="13">
        <f t="shared" si="15"/>
        <v>0</v>
      </c>
      <c r="G86" s="13"/>
      <c r="I86" s="15"/>
      <c r="J86" s="15"/>
      <c r="K86" s="36">
        <f t="shared" si="16"/>
        <v>0</v>
      </c>
      <c r="L86" s="36"/>
      <c r="M86" s="16">
        <v>59</v>
      </c>
      <c r="N86" s="57"/>
      <c r="O86" s="50"/>
      <c r="P86" s="50"/>
      <c r="Q86" s="50"/>
      <c r="R86" s="50"/>
      <c r="T86" s="37">
        <f t="shared" si="17"/>
        <v>0</v>
      </c>
      <c r="U86" s="38">
        <f t="shared" si="18"/>
        <v>0</v>
      </c>
      <c r="W86" s="39">
        <f t="shared" si="19"/>
        <v>0</v>
      </c>
      <c r="X86" s="38">
        <f t="shared" si="20"/>
        <v>0</v>
      </c>
      <c r="AA86" s="16" t="e">
        <f t="shared" ca="1" si="22"/>
        <v>#REF!</v>
      </c>
      <c r="AB86" s="1" t="e">
        <f ca="1">IF(AND(OR(Dados!$B$6="Tradicional",Dados!$B$6="Instrumento de Garantia"),SUM(OFFSET(Dados!$B$28,0,0,Dados!$B$17))/Dados!$B$17&lt;70%,Dados!$B$7="PU"),1,0)</f>
        <v>#REF!</v>
      </c>
      <c r="AC86" t="s">
        <v>108</v>
      </c>
      <c r="AD86"/>
      <c r="AE86"/>
    </row>
    <row r="87" spans="1:34" x14ac:dyDescent="0.3">
      <c r="A87" s="40">
        <v>60</v>
      </c>
      <c r="B87" s="14"/>
      <c r="C87" s="15"/>
      <c r="D87" s="12">
        <f t="shared" si="21"/>
        <v>0</v>
      </c>
      <c r="E87" s="13">
        <f t="shared" si="14"/>
        <v>0</v>
      </c>
      <c r="F87" s="13">
        <f t="shared" si="15"/>
        <v>0</v>
      </c>
      <c r="G87" s="13"/>
      <c r="I87" s="15"/>
      <c r="J87" s="15"/>
      <c r="K87" s="36">
        <f t="shared" si="16"/>
        <v>0</v>
      </c>
      <c r="L87" s="36"/>
      <c r="M87" s="16">
        <v>60</v>
      </c>
      <c r="N87" s="57"/>
      <c r="O87" s="50"/>
      <c r="P87" s="50"/>
      <c r="Q87" s="50"/>
      <c r="R87" s="50"/>
      <c r="T87" s="37">
        <f t="shared" si="17"/>
        <v>0</v>
      </c>
      <c r="U87" s="38">
        <f t="shared" si="18"/>
        <v>0</v>
      </c>
      <c r="W87" s="39">
        <f t="shared" si="19"/>
        <v>0</v>
      </c>
      <c r="X87" s="38">
        <f t="shared" si="20"/>
        <v>0</v>
      </c>
      <c r="AA87" s="16">
        <f t="shared" si="22"/>
        <v>0</v>
      </c>
      <c r="AB87" s="1">
        <f>IF(AND(OR(Dados!$B$28&lt;10%,Dados!$B$29&lt;10%,IF(B17&gt;2,Dados!$B$30&lt;10%,0)),OR(Dados!$B$7="PM",Dados!$B$7="PP")),1,0)</f>
        <v>0</v>
      </c>
      <c r="AC87" t="s">
        <v>59</v>
      </c>
      <c r="AD87"/>
      <c r="AE87"/>
    </row>
    <row r="88" spans="1:34" x14ac:dyDescent="0.3">
      <c r="A88" s="40">
        <v>61</v>
      </c>
      <c r="B88" s="14"/>
      <c r="C88" s="15"/>
      <c r="D88" s="12">
        <f t="shared" si="21"/>
        <v>0</v>
      </c>
      <c r="E88" s="13">
        <f t="shared" si="14"/>
        <v>0</v>
      </c>
      <c r="F88" s="13">
        <f t="shared" si="15"/>
        <v>0</v>
      </c>
      <c r="G88" s="13"/>
      <c r="I88" s="15"/>
      <c r="J88" s="15"/>
      <c r="K88" s="36">
        <f t="shared" si="16"/>
        <v>0</v>
      </c>
      <c r="L88" s="36"/>
      <c r="M88" s="16">
        <v>61</v>
      </c>
      <c r="N88" s="57"/>
      <c r="O88" s="50"/>
      <c r="P88" s="50"/>
      <c r="Q88" s="50"/>
      <c r="R88" s="50"/>
      <c r="T88" s="37">
        <f t="shared" si="17"/>
        <v>0</v>
      </c>
      <c r="U88" s="38">
        <f t="shared" si="18"/>
        <v>0</v>
      </c>
      <c r="W88" s="39">
        <f t="shared" si="19"/>
        <v>0</v>
      </c>
      <c r="X88" s="38">
        <f t="shared" si="20"/>
        <v>0</v>
      </c>
      <c r="AA88" s="16">
        <f t="shared" ca="1" si="22"/>
        <v>0</v>
      </c>
      <c r="AB88" s="1">
        <f t="array" aca="1" ref="AB88" ca="1">IF($B$17&gt;3,IF(AND(OR(Dados!$B$7="PM",Dados!$B$7="PP"),OR(OFFSET(Dados!$B$31,0,0,Dados!$B$17-3)&lt;70%)),1,0),0)</f>
        <v>0</v>
      </c>
      <c r="AC88" t="s">
        <v>117</v>
      </c>
      <c r="AD88"/>
      <c r="AE88"/>
    </row>
    <row r="89" spans="1:34" x14ac:dyDescent="0.3">
      <c r="A89" s="40">
        <v>62</v>
      </c>
      <c r="B89" s="14"/>
      <c r="C89" s="15"/>
      <c r="D89" s="12">
        <f t="shared" si="21"/>
        <v>0</v>
      </c>
      <c r="E89" s="13">
        <f t="shared" si="14"/>
        <v>0</v>
      </c>
      <c r="F89" s="13">
        <f t="shared" si="15"/>
        <v>0</v>
      </c>
      <c r="G89" s="13"/>
      <c r="I89" s="15"/>
      <c r="J89" s="15"/>
      <c r="K89" s="36">
        <f t="shared" si="16"/>
        <v>0</v>
      </c>
      <c r="L89" s="36"/>
      <c r="M89" s="16">
        <v>62</v>
      </c>
      <c r="N89" s="57"/>
      <c r="O89" s="50"/>
      <c r="P89" s="50"/>
      <c r="Q89" s="50"/>
      <c r="R89" s="50"/>
      <c r="T89" s="37">
        <f t="shared" si="17"/>
        <v>0</v>
      </c>
      <c r="U89" s="38">
        <f t="shared" si="18"/>
        <v>0</v>
      </c>
      <c r="W89" s="39">
        <f t="shared" si="19"/>
        <v>0</v>
      </c>
      <c r="X89" s="38">
        <f t="shared" si="20"/>
        <v>0</v>
      </c>
      <c r="AA89" s="16" t="e">
        <f t="shared" ca="1" si="22"/>
        <v>#REF!</v>
      </c>
      <c r="AB89" s="1" t="e">
        <f ca="1">IF(AND(OR(Dados!$B$7="PM",Dados!$B$7="PP"),AVERAGE(OFFSET(Dados!$B$28,0,0,Dados!$B$17))&lt;70%),1,0)</f>
        <v>#REF!</v>
      </c>
      <c r="AC89" t="s">
        <v>60</v>
      </c>
      <c r="AD89"/>
      <c r="AE89"/>
    </row>
    <row r="90" spans="1:34" x14ac:dyDescent="0.3">
      <c r="A90" s="40">
        <v>63</v>
      </c>
      <c r="B90" s="14"/>
      <c r="C90" s="15"/>
      <c r="D90" s="12">
        <f t="shared" si="21"/>
        <v>0</v>
      </c>
      <c r="E90" s="13">
        <f t="shared" si="14"/>
        <v>0</v>
      </c>
      <c r="F90" s="13">
        <f t="shared" si="15"/>
        <v>0</v>
      </c>
      <c r="G90" s="13"/>
      <c r="I90" s="15"/>
      <c r="J90" s="15"/>
      <c r="K90" s="36">
        <f t="shared" si="16"/>
        <v>0</v>
      </c>
      <c r="L90" s="36"/>
      <c r="M90" s="16">
        <v>63</v>
      </c>
      <c r="N90" s="57"/>
      <c r="O90" s="50"/>
      <c r="P90" s="50"/>
      <c r="Q90" s="50"/>
      <c r="R90" s="50"/>
      <c r="T90" s="37">
        <f t="shared" si="17"/>
        <v>0</v>
      </c>
      <c r="U90" s="38">
        <f t="shared" si="18"/>
        <v>0</v>
      </c>
      <c r="W90" s="39">
        <f t="shared" si="19"/>
        <v>0</v>
      </c>
      <c r="X90" s="38">
        <f t="shared" si="20"/>
        <v>0</v>
      </c>
      <c r="AA90" s="16">
        <f t="shared" si="22"/>
        <v>0</v>
      </c>
      <c r="AB90">
        <f>IF(AND(OR(Dados!$B$6 = "Tradicional",Dados!$B$6 = "Instrumento de Garantia",Dados!$B$6 = "Compra Programada"), Dados!$B$13 &lt; 0.35%),1,0)</f>
        <v>0</v>
      </c>
      <c r="AC90" t="s">
        <v>118</v>
      </c>
      <c r="AD90"/>
      <c r="AE90"/>
    </row>
    <row r="91" spans="1:34" x14ac:dyDescent="0.3">
      <c r="A91" s="40">
        <v>64</v>
      </c>
      <c r="B91" s="14"/>
      <c r="C91" s="15"/>
      <c r="D91" s="12">
        <f t="shared" si="21"/>
        <v>0</v>
      </c>
      <c r="E91" s="13">
        <f t="shared" si="14"/>
        <v>0</v>
      </c>
      <c r="F91" s="13">
        <f t="shared" si="15"/>
        <v>0</v>
      </c>
      <c r="G91" s="13"/>
      <c r="I91" s="15"/>
      <c r="J91" s="15"/>
      <c r="K91" s="36">
        <f t="shared" si="16"/>
        <v>0</v>
      </c>
      <c r="L91" s="36"/>
      <c r="M91" s="16">
        <v>64</v>
      </c>
      <c r="N91" s="57"/>
      <c r="O91" s="50"/>
      <c r="P91" s="50"/>
      <c r="Q91" s="50"/>
      <c r="R91" s="50"/>
      <c r="T91" s="37">
        <f t="shared" si="17"/>
        <v>0</v>
      </c>
      <c r="U91" s="38">
        <f t="shared" si="18"/>
        <v>0</v>
      </c>
      <c r="W91" s="39">
        <f t="shared" si="19"/>
        <v>0</v>
      </c>
      <c r="X91" s="38">
        <f t="shared" si="20"/>
        <v>0</v>
      </c>
      <c r="AA91" s="16">
        <f t="shared" si="22"/>
        <v>0</v>
      </c>
      <c r="AB91">
        <f>IF(AND(OR(Dados!$B$6 = "Popular",Dados!$B$6 = "Incentivo",Dados!$B$6 = "Filantropia Premiável"), Dados!$B$13 &lt; 0.16%), 1, 0)</f>
        <v>0</v>
      </c>
      <c r="AC91" t="s">
        <v>119</v>
      </c>
      <c r="AD91"/>
      <c r="AE91"/>
    </row>
    <row r="92" spans="1:34" x14ac:dyDescent="0.3">
      <c r="A92" s="40">
        <v>65</v>
      </c>
      <c r="B92" s="14"/>
      <c r="C92" s="15"/>
      <c r="D92" s="12">
        <f t="shared" si="21"/>
        <v>0</v>
      </c>
      <c r="E92" s="13">
        <f t="shared" ref="E92:E123" si="23">IF(A92&lt;=$B$11,D92*C92/IF(A92&lt;=$B$17,A92,$B$17),0)</f>
        <v>0</v>
      </c>
      <c r="F92" s="13">
        <f t="shared" ref="F92:F123" si="24">IF(A92&lt;=$B$11,IF(OR($B$7="PM",$B$7="PP",$B$6="Popular"),MAX(50%,E92),E92),0)</f>
        <v>0</v>
      </c>
      <c r="G92" s="13"/>
      <c r="I92" s="15"/>
      <c r="J92" s="15"/>
      <c r="K92" s="36">
        <f t="shared" ref="K92:K122" si="25">J92+I92+B92</f>
        <v>0</v>
      </c>
      <c r="L92" s="36"/>
      <c r="M92" s="16">
        <v>65</v>
      </c>
      <c r="N92" s="57"/>
      <c r="O92" s="50"/>
      <c r="P92" s="50"/>
      <c r="Q92" s="50"/>
      <c r="R92" s="50"/>
      <c r="T92" s="37">
        <f t="shared" ref="T92:T123" si="26">I92*$B$12</f>
        <v>0</v>
      </c>
      <c r="U92" s="38">
        <f t="shared" ref="U92:U123" si="27">$T92*(B$14+1)^-($A92-1)</f>
        <v>0</v>
      </c>
      <c r="W92" s="39">
        <f t="shared" ref="W92:W123" si="28">N92+O92+P92+Q92+R92</f>
        <v>0</v>
      </c>
      <c r="X92" s="38">
        <f t="shared" ref="X92:X123" si="29">$W92*(B$14+1)^-($A92-1)</f>
        <v>0</v>
      </c>
      <c r="AA92" s="16">
        <f t="shared" si="22"/>
        <v>0</v>
      </c>
      <c r="AB92">
        <f>IF(AND(Dados!$B$6="Tradicional",Dados!B11&lt;12),1,0)</f>
        <v>0</v>
      </c>
      <c r="AC92" t="s">
        <v>98</v>
      </c>
      <c r="AD92"/>
      <c r="AE92"/>
    </row>
    <row r="93" spans="1:34" x14ac:dyDescent="0.3">
      <c r="A93" s="40">
        <v>66</v>
      </c>
      <c r="B93" s="14"/>
      <c r="C93" s="15"/>
      <c r="D93" s="12">
        <f t="shared" ref="D93:D124" si="30">IF(A93&lt;=$B$11,(D92 + B93)*(1+$B$13),0)</f>
        <v>0</v>
      </c>
      <c r="E93" s="13">
        <f t="shared" si="23"/>
        <v>0</v>
      </c>
      <c r="F93" s="13">
        <f t="shared" si="24"/>
        <v>0</v>
      </c>
      <c r="G93" s="13"/>
      <c r="I93" s="15"/>
      <c r="J93" s="15"/>
      <c r="K93" s="36">
        <f t="shared" si="25"/>
        <v>0</v>
      </c>
      <c r="L93" s="36"/>
      <c r="M93" s="16">
        <v>66</v>
      </c>
      <c r="N93" s="57"/>
      <c r="O93" s="50"/>
      <c r="P93" s="50"/>
      <c r="Q93" s="50"/>
      <c r="R93" s="50"/>
      <c r="T93" s="37">
        <f t="shared" si="26"/>
        <v>0</v>
      </c>
      <c r="U93" s="38">
        <f t="shared" si="27"/>
        <v>0</v>
      </c>
      <c r="W93" s="39">
        <f t="shared" si="28"/>
        <v>0</v>
      </c>
      <c r="X93" s="38">
        <f t="shared" si="29"/>
        <v>0</v>
      </c>
      <c r="AA93" s="16">
        <f t="shared" si="22"/>
        <v>0</v>
      </c>
      <c r="AB93">
        <f>IF(AND(Dados!$B$6="Popular",Dados!B11&lt;12),1,0)</f>
        <v>0</v>
      </c>
      <c r="AC93" t="s">
        <v>100</v>
      </c>
      <c r="AD93"/>
      <c r="AE93"/>
    </row>
    <row r="94" spans="1:34" x14ac:dyDescent="0.3">
      <c r="A94" s="40">
        <v>67</v>
      </c>
      <c r="B94" s="14"/>
      <c r="C94" s="15"/>
      <c r="D94" s="12">
        <f t="shared" si="30"/>
        <v>0</v>
      </c>
      <c r="E94" s="13">
        <f t="shared" si="23"/>
        <v>0</v>
      </c>
      <c r="F94" s="13">
        <f t="shared" si="24"/>
        <v>0</v>
      </c>
      <c r="G94" s="13"/>
      <c r="I94" s="15"/>
      <c r="J94" s="15"/>
      <c r="K94" s="36">
        <f t="shared" si="25"/>
        <v>0</v>
      </c>
      <c r="L94" s="36"/>
      <c r="M94" s="16">
        <v>67</v>
      </c>
      <c r="N94" s="57"/>
      <c r="O94" s="50"/>
      <c r="P94" s="50"/>
      <c r="Q94" s="50"/>
      <c r="R94" s="50"/>
      <c r="T94" s="37">
        <f t="shared" si="26"/>
        <v>0</v>
      </c>
      <c r="U94" s="38">
        <f t="shared" si="27"/>
        <v>0</v>
      </c>
      <c r="W94" s="39">
        <f t="shared" si="28"/>
        <v>0</v>
      </c>
      <c r="X94" s="38">
        <f t="shared" si="29"/>
        <v>0</v>
      </c>
      <c r="AA94" s="16">
        <f t="shared" si="22"/>
        <v>0</v>
      </c>
      <c r="AB94">
        <f>IF(AND(Dados!$B$6="Instrumento de Garantia",Dados!B11&lt;6),1,0)</f>
        <v>0</v>
      </c>
      <c r="AC94" t="s">
        <v>97</v>
      </c>
      <c r="AD94"/>
      <c r="AE94"/>
    </row>
    <row r="95" spans="1:34" x14ac:dyDescent="0.3">
      <c r="A95" s="40">
        <v>68</v>
      </c>
      <c r="B95" s="14"/>
      <c r="C95" s="15"/>
      <c r="D95" s="12">
        <f t="shared" si="30"/>
        <v>0</v>
      </c>
      <c r="E95" s="13">
        <f t="shared" si="23"/>
        <v>0</v>
      </c>
      <c r="F95" s="13">
        <f t="shared" si="24"/>
        <v>0</v>
      </c>
      <c r="G95" s="13"/>
      <c r="I95" s="15"/>
      <c r="J95" s="15"/>
      <c r="K95" s="36">
        <f t="shared" si="25"/>
        <v>0</v>
      </c>
      <c r="L95" s="36"/>
      <c r="M95" s="16">
        <v>68</v>
      </c>
      <c r="N95" s="57"/>
      <c r="O95" s="50"/>
      <c r="P95" s="50"/>
      <c r="Q95" s="50"/>
      <c r="R95" s="50"/>
      <c r="T95" s="37">
        <f t="shared" si="26"/>
        <v>0</v>
      </c>
      <c r="U95" s="38">
        <f t="shared" si="27"/>
        <v>0</v>
      </c>
      <c r="W95" s="39">
        <f t="shared" si="28"/>
        <v>0</v>
      </c>
      <c r="X95" s="38">
        <f t="shared" si="29"/>
        <v>0</v>
      </c>
      <c r="AA95" s="16">
        <f t="shared" si="22"/>
        <v>0</v>
      </c>
      <c r="AB95">
        <f>IF(AND(Dados!$B$6="Compra Programada",Dados!B11&lt;6),1,0)</f>
        <v>0</v>
      </c>
      <c r="AC95" t="s">
        <v>99</v>
      </c>
      <c r="AD95"/>
      <c r="AE95"/>
    </row>
    <row r="96" spans="1:34" x14ac:dyDescent="0.3">
      <c r="A96" s="40">
        <v>69</v>
      </c>
      <c r="B96" s="14"/>
      <c r="C96" s="15"/>
      <c r="D96" s="12">
        <f t="shared" si="30"/>
        <v>0</v>
      </c>
      <c r="E96" s="13">
        <f t="shared" si="23"/>
        <v>0</v>
      </c>
      <c r="F96" s="13">
        <f t="shared" si="24"/>
        <v>0</v>
      </c>
      <c r="G96" s="13"/>
      <c r="I96" s="15"/>
      <c r="J96" s="15"/>
      <c r="K96" s="36">
        <f t="shared" si="25"/>
        <v>0</v>
      </c>
      <c r="L96" s="36"/>
      <c r="M96" s="16">
        <v>69</v>
      </c>
      <c r="N96" s="57"/>
      <c r="O96" s="50"/>
      <c r="P96" s="50"/>
      <c r="Q96" s="50"/>
      <c r="R96" s="50"/>
      <c r="T96" s="37">
        <f t="shared" si="26"/>
        <v>0</v>
      </c>
      <c r="U96" s="38">
        <f t="shared" si="27"/>
        <v>0</v>
      </c>
      <c r="W96" s="39">
        <f t="shared" si="28"/>
        <v>0</v>
      </c>
      <c r="X96" s="38">
        <f t="shared" si="29"/>
        <v>0</v>
      </c>
      <c r="AA96" s="16">
        <f t="shared" si="22"/>
        <v>0</v>
      </c>
      <c r="AB96">
        <f>IF(AND(Dados!$B$6="Incentivo",Dados!$B$11&lt;2),1,0)</f>
        <v>0</v>
      </c>
      <c r="AC96" t="s">
        <v>101</v>
      </c>
      <c r="AD96"/>
      <c r="AE96"/>
    </row>
    <row r="97" spans="1:31" x14ac:dyDescent="0.3">
      <c r="A97" s="40">
        <v>70</v>
      </c>
      <c r="B97" s="14"/>
      <c r="C97" s="15"/>
      <c r="D97" s="12">
        <f t="shared" si="30"/>
        <v>0</v>
      </c>
      <c r="E97" s="13">
        <f t="shared" si="23"/>
        <v>0</v>
      </c>
      <c r="F97" s="13">
        <f t="shared" si="24"/>
        <v>0</v>
      </c>
      <c r="G97" s="13"/>
      <c r="I97" s="15"/>
      <c r="J97" s="15"/>
      <c r="K97" s="36">
        <f t="shared" si="25"/>
        <v>0</v>
      </c>
      <c r="L97" s="36"/>
      <c r="M97" s="16">
        <v>70</v>
      </c>
      <c r="N97" s="57"/>
      <c r="O97" s="50"/>
      <c r="P97" s="50"/>
      <c r="Q97" s="50"/>
      <c r="R97" s="50"/>
      <c r="T97" s="37">
        <f t="shared" si="26"/>
        <v>0</v>
      </c>
      <c r="U97" s="38">
        <f t="shared" si="27"/>
        <v>0</v>
      </c>
      <c r="W97" s="39">
        <f t="shared" si="28"/>
        <v>0</v>
      </c>
      <c r="X97" s="38">
        <f t="shared" si="29"/>
        <v>0</v>
      </c>
      <c r="AA97" s="16">
        <f t="shared" si="22"/>
        <v>0</v>
      </c>
      <c r="AB97">
        <f>IF(AND(Dados!$B$6="Filantropia Premiável",Dados!$B$11&lt;2),1,0)</f>
        <v>0</v>
      </c>
      <c r="AC97" t="s">
        <v>102</v>
      </c>
      <c r="AD97"/>
      <c r="AE97"/>
    </row>
    <row r="98" spans="1:31" x14ac:dyDescent="0.3">
      <c r="A98" s="40">
        <v>71</v>
      </c>
      <c r="B98" s="14"/>
      <c r="C98" s="15"/>
      <c r="D98" s="12">
        <f t="shared" si="30"/>
        <v>0</v>
      </c>
      <c r="E98" s="13">
        <f t="shared" si="23"/>
        <v>0</v>
      </c>
      <c r="F98" s="13">
        <f t="shared" si="24"/>
        <v>0</v>
      </c>
      <c r="G98" s="13"/>
      <c r="I98" s="15"/>
      <c r="J98" s="15"/>
      <c r="K98" s="36">
        <f t="shared" si="25"/>
        <v>0</v>
      </c>
      <c r="L98" s="36"/>
      <c r="M98" s="16">
        <v>71</v>
      </c>
      <c r="N98" s="57"/>
      <c r="O98" s="50"/>
      <c r="P98" s="50"/>
      <c r="Q98" s="50"/>
      <c r="R98" s="50"/>
      <c r="T98" s="37">
        <f t="shared" si="26"/>
        <v>0</v>
      </c>
      <c r="U98" s="38">
        <f t="shared" si="27"/>
        <v>0</v>
      </c>
      <c r="W98" s="39">
        <f t="shared" si="28"/>
        <v>0</v>
      </c>
      <c r="X98" s="38">
        <f t="shared" si="29"/>
        <v>0</v>
      </c>
      <c r="AA98" s="16">
        <f t="shared" ca="1" si="22"/>
        <v>0</v>
      </c>
      <c r="AB98">
        <f ca="1">IF(AND(Dados!$B$6="Tradicional",OFFSET(Dados!$F$28,Dados!$B$11-1,0)&lt;100%),1,0)</f>
        <v>0</v>
      </c>
      <c r="AC98" t="s">
        <v>113</v>
      </c>
      <c r="AD98"/>
      <c r="AE98"/>
    </row>
    <row r="99" spans="1:31" x14ac:dyDescent="0.3">
      <c r="A99" s="40">
        <v>72</v>
      </c>
      <c r="B99" s="14"/>
      <c r="C99" s="15"/>
      <c r="D99" s="12">
        <f t="shared" si="30"/>
        <v>0</v>
      </c>
      <c r="E99" s="13">
        <f t="shared" si="23"/>
        <v>0</v>
      </c>
      <c r="F99" s="13">
        <f t="shared" si="24"/>
        <v>0</v>
      </c>
      <c r="G99" s="13"/>
      <c r="I99" s="15"/>
      <c r="J99" s="15"/>
      <c r="K99" s="36">
        <f t="shared" si="25"/>
        <v>0</v>
      </c>
      <c r="L99" s="36"/>
      <c r="M99" s="16">
        <v>72</v>
      </c>
      <c r="N99" s="57"/>
      <c r="O99" s="50"/>
      <c r="P99" s="50"/>
      <c r="Q99" s="50"/>
      <c r="R99" s="50"/>
      <c r="T99" s="37">
        <f t="shared" si="26"/>
        <v>0</v>
      </c>
      <c r="U99" s="38">
        <f t="shared" si="27"/>
        <v>0</v>
      </c>
      <c r="W99" s="39">
        <f t="shared" si="28"/>
        <v>0</v>
      </c>
      <c r="X99" s="38">
        <f t="shared" si="29"/>
        <v>0</v>
      </c>
      <c r="AA99" s="16">
        <f t="shared" ca="1" si="22"/>
        <v>0</v>
      </c>
      <c r="AB99">
        <f ca="1">IF(AND(Dados!$B$6="Compra Programada",OFFSET(Dados!$F$28,Dados!$B$11-1,0)&lt;100%),1,0)</f>
        <v>0</v>
      </c>
      <c r="AC99" t="s">
        <v>115</v>
      </c>
      <c r="AD99"/>
      <c r="AE99"/>
    </row>
    <row r="100" spans="1:31" x14ac:dyDescent="0.3">
      <c r="A100" s="40">
        <v>73</v>
      </c>
      <c r="B100" s="14"/>
      <c r="C100" s="15"/>
      <c r="D100" s="12">
        <f t="shared" si="30"/>
        <v>0</v>
      </c>
      <c r="E100" s="13">
        <f t="shared" si="23"/>
        <v>0</v>
      </c>
      <c r="F100" s="13">
        <f t="shared" si="24"/>
        <v>0</v>
      </c>
      <c r="G100" s="13"/>
      <c r="I100" s="15"/>
      <c r="J100" s="15"/>
      <c r="K100" s="36">
        <f t="shared" si="25"/>
        <v>0</v>
      </c>
      <c r="L100" s="36"/>
      <c r="M100" s="16">
        <v>73</v>
      </c>
      <c r="N100" s="57"/>
      <c r="O100" s="50"/>
      <c r="P100" s="50"/>
      <c r="Q100" s="50"/>
      <c r="R100" s="50"/>
      <c r="T100" s="37">
        <f t="shared" si="26"/>
        <v>0</v>
      </c>
      <c r="U100" s="38">
        <f t="shared" si="27"/>
        <v>0</v>
      </c>
      <c r="W100" s="39">
        <f t="shared" si="28"/>
        <v>0</v>
      </c>
      <c r="X100" s="38">
        <f t="shared" si="29"/>
        <v>0</v>
      </c>
      <c r="AA100" s="16">
        <f t="shared" ca="1" si="22"/>
        <v>0</v>
      </c>
      <c r="AB100">
        <f ca="1">IF(AND(Dados!$B$6="Instrumento de Garantia",OFFSET(Dados!$F$28,Dados!$B$11-1,0)&lt;95%),1,0)</f>
        <v>0</v>
      </c>
      <c r="AC100" t="s">
        <v>114</v>
      </c>
      <c r="AD100"/>
      <c r="AE100"/>
    </row>
    <row r="101" spans="1:31" x14ac:dyDescent="0.3">
      <c r="A101" s="40">
        <v>74</v>
      </c>
      <c r="B101" s="14"/>
      <c r="C101" s="15"/>
      <c r="D101" s="12">
        <f t="shared" si="30"/>
        <v>0</v>
      </c>
      <c r="E101" s="13">
        <f t="shared" si="23"/>
        <v>0</v>
      </c>
      <c r="F101" s="13">
        <f t="shared" si="24"/>
        <v>0</v>
      </c>
      <c r="G101" s="13"/>
      <c r="I101" s="15"/>
      <c r="J101" s="15"/>
      <c r="K101" s="36">
        <f t="shared" si="25"/>
        <v>0</v>
      </c>
      <c r="L101" s="36"/>
      <c r="M101" s="16">
        <v>74</v>
      </c>
      <c r="N101" s="57"/>
      <c r="O101" s="50"/>
      <c r="P101" s="50"/>
      <c r="Q101" s="50"/>
      <c r="R101" s="50"/>
      <c r="T101" s="37">
        <f t="shared" si="26"/>
        <v>0</v>
      </c>
      <c r="U101" s="38">
        <f t="shared" si="27"/>
        <v>0</v>
      </c>
      <c r="W101" s="39">
        <f t="shared" si="28"/>
        <v>0</v>
      </c>
      <c r="X101" s="38">
        <f t="shared" si="29"/>
        <v>0</v>
      </c>
      <c r="AA101" s="16">
        <f t="shared" si="22"/>
        <v>0</v>
      </c>
      <c r="AB101">
        <f>IF(AND(Dados!$B$6="Compra Programada",Dados!$B$7="PU"),1,0)</f>
        <v>0</v>
      </c>
      <c r="AC101" t="s">
        <v>109</v>
      </c>
      <c r="AD101"/>
      <c r="AE101"/>
    </row>
    <row r="102" spans="1:31" x14ac:dyDescent="0.3">
      <c r="A102" s="40">
        <v>75</v>
      </c>
      <c r="B102" s="14"/>
      <c r="C102" s="15"/>
      <c r="D102" s="12">
        <f t="shared" si="30"/>
        <v>0</v>
      </c>
      <c r="E102" s="13">
        <f t="shared" si="23"/>
        <v>0</v>
      </c>
      <c r="F102" s="13">
        <f t="shared" si="24"/>
        <v>0</v>
      </c>
      <c r="G102" s="13"/>
      <c r="I102" s="15"/>
      <c r="J102" s="15"/>
      <c r="K102" s="36">
        <f t="shared" si="25"/>
        <v>0</v>
      </c>
      <c r="L102" s="36"/>
      <c r="M102" s="16">
        <v>75</v>
      </c>
      <c r="N102" s="57"/>
      <c r="O102" s="50"/>
      <c r="P102" s="50"/>
      <c r="Q102" s="50"/>
      <c r="R102" s="50"/>
      <c r="T102" s="37">
        <f t="shared" si="26"/>
        <v>0</v>
      </c>
      <c r="U102" s="38">
        <f t="shared" si="27"/>
        <v>0</v>
      </c>
      <c r="W102" s="39">
        <f t="shared" si="28"/>
        <v>0</v>
      </c>
      <c r="X102" s="38">
        <f t="shared" si="29"/>
        <v>0</v>
      </c>
      <c r="AA102" s="16">
        <f t="shared" si="22"/>
        <v>0</v>
      </c>
      <c r="AB102">
        <f>IF(AND(Dados!$B$6="Filantropia Premiável",Dados!$B$7&lt;&gt;"PU"),1,0)</f>
        <v>0</v>
      </c>
      <c r="AC102" t="s">
        <v>110</v>
      </c>
      <c r="AD102"/>
      <c r="AE102"/>
    </row>
    <row r="103" spans="1:31" x14ac:dyDescent="0.3">
      <c r="A103" s="40">
        <v>76</v>
      </c>
      <c r="B103" s="14"/>
      <c r="C103" s="15"/>
      <c r="D103" s="12">
        <f t="shared" si="30"/>
        <v>0</v>
      </c>
      <c r="E103" s="13">
        <f t="shared" si="23"/>
        <v>0</v>
      </c>
      <c r="F103" s="13">
        <f t="shared" si="24"/>
        <v>0</v>
      </c>
      <c r="G103" s="13"/>
      <c r="I103" s="15"/>
      <c r="J103" s="15"/>
      <c r="K103" s="36">
        <f t="shared" si="25"/>
        <v>0</v>
      </c>
      <c r="L103" s="36"/>
      <c r="M103" s="16">
        <v>76</v>
      </c>
      <c r="N103" s="57"/>
      <c r="O103" s="50"/>
      <c r="P103" s="50"/>
      <c r="Q103" s="50"/>
      <c r="R103" s="50"/>
      <c r="T103" s="37">
        <f t="shared" si="26"/>
        <v>0</v>
      </c>
      <c r="U103" s="38">
        <f t="shared" si="27"/>
        <v>0</v>
      </c>
      <c r="W103" s="39">
        <f t="shared" si="28"/>
        <v>0</v>
      </c>
      <c r="X103" s="38">
        <f t="shared" si="29"/>
        <v>0</v>
      </c>
      <c r="AA103" s="16" t="e">
        <f t="shared" ca="1" si="22"/>
        <v>#REF!</v>
      </c>
      <c r="AB103" t="e">
        <f ca="1">IF(OR(AVERAGE(OFFSET(Dados!$B$28,0,0,Dados!$B$17))&lt;AVERAGE(OFFSET(Dados!$I$28,0,0,Dados!$B$17)),AVERAGE(OFFSET(Dados!$B$28,0,0,Dados!$B$17))&lt;AVERAGE(OFFSET(Dados!$J$28,0,0,Dados!$B$17))),1,0)</f>
        <v>#REF!</v>
      </c>
      <c r="AC103" t="s">
        <v>111</v>
      </c>
      <c r="AD103"/>
      <c r="AE103"/>
    </row>
    <row r="104" spans="1:31" x14ac:dyDescent="0.3">
      <c r="A104" s="40">
        <v>77</v>
      </c>
      <c r="B104" s="14"/>
      <c r="C104" s="15"/>
      <c r="D104" s="12">
        <f t="shared" si="30"/>
        <v>0</v>
      </c>
      <c r="E104" s="13">
        <f t="shared" si="23"/>
        <v>0</v>
      </c>
      <c r="F104" s="13">
        <f t="shared" si="24"/>
        <v>0</v>
      </c>
      <c r="G104" s="13"/>
      <c r="I104" s="15"/>
      <c r="J104" s="15"/>
      <c r="K104" s="36">
        <f t="shared" si="25"/>
        <v>0</v>
      </c>
      <c r="L104" s="36"/>
      <c r="M104" s="16">
        <v>77</v>
      </c>
      <c r="N104" s="57"/>
      <c r="O104" s="50"/>
      <c r="P104" s="50"/>
      <c r="Q104" s="50"/>
      <c r="R104" s="50"/>
      <c r="T104" s="37">
        <f t="shared" si="26"/>
        <v>0</v>
      </c>
      <c r="U104" s="38">
        <f t="shared" si="27"/>
        <v>0</v>
      </c>
      <c r="W104" s="39">
        <f t="shared" si="28"/>
        <v>0</v>
      </c>
      <c r="X104" s="38">
        <f t="shared" si="29"/>
        <v>0</v>
      </c>
      <c r="AA104" s="16">
        <f t="shared" si="22"/>
        <v>0</v>
      </c>
      <c r="AB104">
        <f>IF(Dados!N28&gt;30%*SUM(Dados!$N$28:$R$147),1,0)</f>
        <v>0</v>
      </c>
      <c r="AC104" t="s">
        <v>112</v>
      </c>
      <c r="AD104"/>
      <c r="AE104"/>
    </row>
    <row r="105" spans="1:31" x14ac:dyDescent="0.3">
      <c r="A105" s="40">
        <v>78</v>
      </c>
      <c r="B105" s="14"/>
      <c r="C105" s="15"/>
      <c r="D105" s="12">
        <f t="shared" si="30"/>
        <v>0</v>
      </c>
      <c r="E105" s="13">
        <f t="shared" si="23"/>
        <v>0</v>
      </c>
      <c r="F105" s="13">
        <f t="shared" si="24"/>
        <v>0</v>
      </c>
      <c r="G105" s="13"/>
      <c r="I105" s="15"/>
      <c r="J105" s="15"/>
      <c r="K105" s="36">
        <f t="shared" si="25"/>
        <v>0</v>
      </c>
      <c r="L105" s="36"/>
      <c r="M105" s="16">
        <v>78</v>
      </c>
      <c r="N105" s="57"/>
      <c r="O105" s="50"/>
      <c r="P105" s="50"/>
      <c r="Q105" s="50"/>
      <c r="R105" s="50"/>
      <c r="T105" s="37">
        <f t="shared" si="26"/>
        <v>0</v>
      </c>
      <c r="U105" s="38">
        <f t="shared" si="27"/>
        <v>0</v>
      </c>
      <c r="W105" s="39">
        <f t="shared" si="28"/>
        <v>0</v>
      </c>
      <c r="X105" s="38">
        <f t="shared" si="29"/>
        <v>0</v>
      </c>
      <c r="AA105" s="16" t="e">
        <f t="shared" ca="1" si="22"/>
        <v>#REF!</v>
      </c>
      <c r="AB105" t="e">
        <f t="array" aca="1" ref="AB105" ca="1">IF(AND(OFFSET(Dados!$K$28,0,0,Dados!$B$17)=1), 0,1)</f>
        <v>#REF!</v>
      </c>
      <c r="AC105" t="s">
        <v>122</v>
      </c>
      <c r="AD105"/>
      <c r="AE105"/>
    </row>
    <row r="106" spans="1:31" x14ac:dyDescent="0.3">
      <c r="A106" s="40">
        <v>79</v>
      </c>
      <c r="B106" s="14"/>
      <c r="C106" s="15"/>
      <c r="D106" s="12">
        <f t="shared" si="30"/>
        <v>0</v>
      </c>
      <c r="E106" s="13">
        <f t="shared" si="23"/>
        <v>0</v>
      </c>
      <c r="F106" s="13">
        <f t="shared" si="24"/>
        <v>0</v>
      </c>
      <c r="G106" s="13"/>
      <c r="I106" s="15"/>
      <c r="J106" s="15"/>
      <c r="K106" s="36">
        <f t="shared" si="25"/>
        <v>0</v>
      </c>
      <c r="L106" s="36"/>
      <c r="M106" s="16">
        <v>79</v>
      </c>
      <c r="N106" s="57"/>
      <c r="O106" s="50"/>
      <c r="P106" s="50"/>
      <c r="Q106" s="50"/>
      <c r="R106" s="50"/>
      <c r="T106" s="37">
        <f t="shared" si="26"/>
        <v>0</v>
      </c>
      <c r="U106" s="38">
        <f t="shared" si="27"/>
        <v>0</v>
      </c>
      <c r="W106" s="39">
        <f t="shared" si="28"/>
        <v>0</v>
      </c>
      <c r="X106" s="38">
        <f t="shared" si="29"/>
        <v>0</v>
      </c>
      <c r="AA106" s="16" t="e">
        <f t="shared" ca="1" si="22"/>
        <v>#REF!</v>
      </c>
      <c r="AB106" t="e">
        <f ca="1" xml:space="preserve"> IF(AE80 = "", "", IF(AE80 &lt; AE81, 0, 1))</f>
        <v>#REF!</v>
      </c>
      <c r="AC106" t="s">
        <v>121</v>
      </c>
      <c r="AD106"/>
      <c r="AE106"/>
    </row>
    <row r="107" spans="1:31" x14ac:dyDescent="0.3">
      <c r="A107" s="40">
        <v>80</v>
      </c>
      <c r="B107" s="14"/>
      <c r="C107" s="15"/>
      <c r="D107" s="12">
        <f t="shared" si="30"/>
        <v>0</v>
      </c>
      <c r="E107" s="13">
        <f t="shared" si="23"/>
        <v>0</v>
      </c>
      <c r="F107" s="13">
        <f t="shared" si="24"/>
        <v>0</v>
      </c>
      <c r="G107" s="13"/>
      <c r="I107" s="15"/>
      <c r="J107" s="15"/>
      <c r="K107" s="36">
        <f t="shared" si="25"/>
        <v>0</v>
      </c>
      <c r="L107" s="36"/>
      <c r="M107" s="16">
        <v>80</v>
      </c>
      <c r="N107" s="57"/>
      <c r="O107" s="50"/>
      <c r="P107" s="50"/>
      <c r="Q107" s="50"/>
      <c r="R107" s="50"/>
      <c r="T107" s="37">
        <f t="shared" si="26"/>
        <v>0</v>
      </c>
      <c r="U107" s="38">
        <f t="shared" si="27"/>
        <v>0</v>
      </c>
      <c r="W107" s="39">
        <f t="shared" si="28"/>
        <v>0</v>
      </c>
      <c r="X107" s="38">
        <f t="shared" si="29"/>
        <v>0</v>
      </c>
      <c r="AA107" s="16" t="e">
        <f t="shared" ca="1" si="22"/>
        <v>#REF!</v>
      </c>
      <c r="AB107" t="e">
        <f ca="1" xml:space="preserve"> IF(SUM($AD$69:$AD$71)&gt;=1, 1, 0)</f>
        <v>#REF!</v>
      </c>
      <c r="AC107" t="s">
        <v>127</v>
      </c>
      <c r="AD107"/>
      <c r="AE107"/>
    </row>
    <row r="108" spans="1:31" x14ac:dyDescent="0.3">
      <c r="A108" s="40">
        <v>81</v>
      </c>
      <c r="B108" s="14"/>
      <c r="C108" s="15"/>
      <c r="D108" s="12">
        <f t="shared" si="30"/>
        <v>0</v>
      </c>
      <c r="E108" s="13">
        <f t="shared" si="23"/>
        <v>0</v>
      </c>
      <c r="F108" s="13">
        <f t="shared" si="24"/>
        <v>0</v>
      </c>
      <c r="G108" s="13"/>
      <c r="I108" s="15"/>
      <c r="J108" s="15"/>
      <c r="K108" s="36">
        <f t="shared" si="25"/>
        <v>0</v>
      </c>
      <c r="L108" s="36"/>
      <c r="M108" s="16">
        <v>81</v>
      </c>
      <c r="N108" s="57"/>
      <c r="O108" s="50"/>
      <c r="P108" s="50"/>
      <c r="Q108" s="50"/>
      <c r="R108" s="50"/>
      <c r="T108" s="37">
        <f t="shared" si="26"/>
        <v>0</v>
      </c>
      <c r="U108" s="38">
        <f t="shared" si="27"/>
        <v>0</v>
      </c>
      <c r="W108" s="39">
        <f t="shared" si="28"/>
        <v>0</v>
      </c>
      <c r="X108" s="38">
        <f t="shared" si="29"/>
        <v>0</v>
      </c>
      <c r="AA108" s="16">
        <f t="shared" si="22"/>
        <v>0</v>
      </c>
      <c r="AB108">
        <f>IF(OR($B$18&gt;$B$11,$B$18&gt;24,$B$18&lt;0),1,0)</f>
        <v>0</v>
      </c>
      <c r="AC108" s="16" t="s">
        <v>140</v>
      </c>
      <c r="AD108"/>
      <c r="AE108"/>
    </row>
    <row r="109" spans="1:31" x14ac:dyDescent="0.3">
      <c r="A109" s="40">
        <v>82</v>
      </c>
      <c r="B109" s="14"/>
      <c r="C109" s="15"/>
      <c r="D109" s="12">
        <f t="shared" si="30"/>
        <v>0</v>
      </c>
      <c r="E109" s="13">
        <f t="shared" si="23"/>
        <v>0</v>
      </c>
      <c r="F109" s="13">
        <f t="shared" si="24"/>
        <v>0</v>
      </c>
      <c r="G109" s="13"/>
      <c r="I109" s="15"/>
      <c r="J109" s="15"/>
      <c r="K109" s="36">
        <f t="shared" si="25"/>
        <v>0</v>
      </c>
      <c r="L109" s="36"/>
      <c r="M109" s="16">
        <v>82</v>
      </c>
      <c r="N109" s="57"/>
      <c r="O109" s="50"/>
      <c r="P109" s="50"/>
      <c r="Q109" s="50"/>
      <c r="R109" s="50"/>
      <c r="T109" s="37">
        <f t="shared" si="26"/>
        <v>0</v>
      </c>
      <c r="U109" s="38">
        <f t="shared" si="27"/>
        <v>0</v>
      </c>
      <c r="W109" s="39">
        <f t="shared" si="28"/>
        <v>0</v>
      </c>
      <c r="X109" s="38">
        <f t="shared" si="29"/>
        <v>0</v>
      </c>
      <c r="AA109" s="16">
        <f t="shared" si="22"/>
        <v>0</v>
      </c>
      <c r="AB109">
        <f>IF(AND(OR(Dados!$B$6 = "Tradicional",Dados!$B$6 = "Compra Programada"), $B$18 &lt; 1),1,0)</f>
        <v>0</v>
      </c>
      <c r="AC109" s="16" t="s">
        <v>138</v>
      </c>
      <c r="AD109"/>
      <c r="AE109"/>
    </row>
    <row r="110" spans="1:31" x14ac:dyDescent="0.3">
      <c r="A110" s="40">
        <v>83</v>
      </c>
      <c r="B110" s="14"/>
      <c r="C110" s="15"/>
      <c r="D110" s="12">
        <f t="shared" si="30"/>
        <v>0</v>
      </c>
      <c r="E110" s="13">
        <f t="shared" si="23"/>
        <v>0</v>
      </c>
      <c r="F110" s="13">
        <f t="shared" si="24"/>
        <v>0</v>
      </c>
      <c r="G110" s="13"/>
      <c r="I110" s="15"/>
      <c r="J110" s="15"/>
      <c r="K110" s="36">
        <f t="shared" si="25"/>
        <v>0</v>
      </c>
      <c r="L110" s="36"/>
      <c r="M110" s="16">
        <v>83</v>
      </c>
      <c r="N110" s="57"/>
      <c r="O110" s="50"/>
      <c r="P110" s="50"/>
      <c r="Q110" s="50"/>
      <c r="R110" s="50"/>
      <c r="T110" s="37">
        <f t="shared" si="26"/>
        <v>0</v>
      </c>
      <c r="U110" s="38">
        <f t="shared" si="27"/>
        <v>0</v>
      </c>
      <c r="W110" s="39">
        <f t="shared" si="28"/>
        <v>0</v>
      </c>
      <c r="X110" s="38">
        <f t="shared" si="29"/>
        <v>0</v>
      </c>
      <c r="AA110" s="16">
        <f t="shared" si="22"/>
        <v>0</v>
      </c>
      <c r="AB110">
        <f>IF(AND(OR(Dados!$B$6 = "Popular",Dados!$B$6 = "Incentivo",Dados!$B$6 = "Filantropia Premiável"), $B$18 &lt; 2), 1, 0)</f>
        <v>0</v>
      </c>
      <c r="AC110" s="16" t="s">
        <v>139</v>
      </c>
      <c r="AD110"/>
      <c r="AE110"/>
    </row>
    <row r="111" spans="1:31" x14ac:dyDescent="0.3">
      <c r="A111" s="40">
        <v>84</v>
      </c>
      <c r="B111" s="14"/>
      <c r="C111" s="15"/>
      <c r="D111" s="12">
        <f t="shared" si="30"/>
        <v>0</v>
      </c>
      <c r="E111" s="13">
        <f t="shared" si="23"/>
        <v>0</v>
      </c>
      <c r="F111" s="13">
        <f t="shared" si="24"/>
        <v>0</v>
      </c>
      <c r="G111" s="13"/>
      <c r="I111" s="15"/>
      <c r="J111" s="15"/>
      <c r="K111" s="36">
        <f t="shared" si="25"/>
        <v>0</v>
      </c>
      <c r="L111" s="36"/>
      <c r="M111" s="16">
        <v>84</v>
      </c>
      <c r="N111" s="57"/>
      <c r="O111" s="50"/>
      <c r="P111" s="50"/>
      <c r="Q111" s="50"/>
      <c r="R111" s="50"/>
      <c r="T111" s="37">
        <f t="shared" si="26"/>
        <v>0</v>
      </c>
      <c r="U111" s="38">
        <f t="shared" si="27"/>
        <v>0</v>
      </c>
      <c r="W111" s="39">
        <f t="shared" si="28"/>
        <v>0</v>
      </c>
      <c r="X111" s="38">
        <f t="shared" si="29"/>
        <v>0</v>
      </c>
      <c r="AA111" s="16">
        <f>IF(AB111&gt;0,1,0)</f>
        <v>0</v>
      </c>
      <c r="AB111">
        <f t="array" ref="AB111">COUNT(IF(IF(Dados!$N$28:$R$147&lt;1,Dados!$N$28:$R$147,"")&gt;0,IF(Dados!$N$28:$R$147&lt;1,Dados!$N$28:$R$147,""),""))</f>
        <v>0</v>
      </c>
      <c r="AC111" t="s">
        <v>123</v>
      </c>
      <c r="AD111"/>
      <c r="AE111"/>
    </row>
    <row r="112" spans="1:31" x14ac:dyDescent="0.3">
      <c r="A112" s="40">
        <v>85</v>
      </c>
      <c r="B112" s="14"/>
      <c r="C112" s="15"/>
      <c r="D112" s="12">
        <f t="shared" si="30"/>
        <v>0</v>
      </c>
      <c r="E112" s="13">
        <f t="shared" si="23"/>
        <v>0</v>
      </c>
      <c r="F112" s="13">
        <f t="shared" si="24"/>
        <v>0</v>
      </c>
      <c r="G112" s="13"/>
      <c r="I112" s="15"/>
      <c r="J112" s="15"/>
      <c r="K112" s="36">
        <f t="shared" si="25"/>
        <v>0</v>
      </c>
      <c r="L112" s="36"/>
      <c r="M112" s="16">
        <v>85</v>
      </c>
      <c r="N112" s="57"/>
      <c r="O112" s="50"/>
      <c r="P112" s="50"/>
      <c r="Q112" s="50"/>
      <c r="R112" s="50"/>
      <c r="T112" s="37">
        <f t="shared" si="26"/>
        <v>0</v>
      </c>
      <c r="U112" s="38">
        <f t="shared" si="27"/>
        <v>0</v>
      </c>
      <c r="W112" s="39">
        <f t="shared" si="28"/>
        <v>0</v>
      </c>
      <c r="X112" s="38">
        <f t="shared" si="29"/>
        <v>0</v>
      </c>
      <c r="AD112"/>
      <c r="AE112"/>
    </row>
    <row r="113" spans="1:31" x14ac:dyDescent="0.3">
      <c r="A113" s="40">
        <v>86</v>
      </c>
      <c r="B113" s="14"/>
      <c r="C113" s="15"/>
      <c r="D113" s="12">
        <f t="shared" si="30"/>
        <v>0</v>
      </c>
      <c r="E113" s="13">
        <f t="shared" si="23"/>
        <v>0</v>
      </c>
      <c r="F113" s="13">
        <f t="shared" si="24"/>
        <v>0</v>
      </c>
      <c r="G113" s="13"/>
      <c r="I113" s="15"/>
      <c r="J113" s="15"/>
      <c r="K113" s="36">
        <f t="shared" si="25"/>
        <v>0</v>
      </c>
      <c r="L113" s="36"/>
      <c r="M113" s="16">
        <v>86</v>
      </c>
      <c r="N113" s="57"/>
      <c r="O113" s="50"/>
      <c r="P113" s="50"/>
      <c r="Q113" s="50"/>
      <c r="R113" s="50"/>
      <c r="T113" s="37">
        <f t="shared" si="26"/>
        <v>0</v>
      </c>
      <c r="U113" s="38">
        <f t="shared" si="27"/>
        <v>0</v>
      </c>
      <c r="W113" s="39">
        <f t="shared" si="28"/>
        <v>0</v>
      </c>
      <c r="X113" s="38">
        <f t="shared" si="29"/>
        <v>0</v>
      </c>
      <c r="AD113"/>
      <c r="AE113"/>
    </row>
    <row r="114" spans="1:31" x14ac:dyDescent="0.3">
      <c r="A114" s="40">
        <v>87</v>
      </c>
      <c r="B114" s="14"/>
      <c r="C114" s="15"/>
      <c r="D114" s="12">
        <f t="shared" si="30"/>
        <v>0</v>
      </c>
      <c r="E114" s="13">
        <f t="shared" si="23"/>
        <v>0</v>
      </c>
      <c r="F114" s="13">
        <f t="shared" si="24"/>
        <v>0</v>
      </c>
      <c r="G114" s="13"/>
      <c r="I114" s="15"/>
      <c r="J114" s="15"/>
      <c r="K114" s="36">
        <f t="shared" si="25"/>
        <v>0</v>
      </c>
      <c r="L114" s="36"/>
      <c r="M114" s="16">
        <v>87</v>
      </c>
      <c r="N114" s="57"/>
      <c r="O114" s="50"/>
      <c r="P114" s="50"/>
      <c r="Q114" s="50"/>
      <c r="R114" s="50"/>
      <c r="T114" s="37">
        <f t="shared" si="26"/>
        <v>0</v>
      </c>
      <c r="U114" s="38">
        <f t="shared" si="27"/>
        <v>0</v>
      </c>
      <c r="W114" s="39">
        <f t="shared" si="28"/>
        <v>0</v>
      </c>
      <c r="X114" s="38">
        <f t="shared" si="29"/>
        <v>0</v>
      </c>
      <c r="AD114"/>
      <c r="AE114"/>
    </row>
    <row r="115" spans="1:31" x14ac:dyDescent="0.3">
      <c r="A115" s="40">
        <v>88</v>
      </c>
      <c r="B115" s="14"/>
      <c r="C115" s="15"/>
      <c r="D115" s="12">
        <f t="shared" si="30"/>
        <v>0</v>
      </c>
      <c r="E115" s="13">
        <f t="shared" si="23"/>
        <v>0</v>
      </c>
      <c r="F115" s="13">
        <f t="shared" si="24"/>
        <v>0</v>
      </c>
      <c r="G115" s="13"/>
      <c r="I115" s="15"/>
      <c r="J115" s="15"/>
      <c r="K115" s="36">
        <f t="shared" si="25"/>
        <v>0</v>
      </c>
      <c r="L115" s="36"/>
      <c r="M115" s="16">
        <v>88</v>
      </c>
      <c r="N115" s="57"/>
      <c r="O115" s="50"/>
      <c r="P115" s="50"/>
      <c r="Q115" s="50"/>
      <c r="R115" s="50"/>
      <c r="T115" s="37">
        <f t="shared" si="26"/>
        <v>0</v>
      </c>
      <c r="U115" s="38">
        <f t="shared" si="27"/>
        <v>0</v>
      </c>
      <c r="W115" s="39">
        <f t="shared" si="28"/>
        <v>0</v>
      </c>
      <c r="X115" s="38">
        <f t="shared" si="29"/>
        <v>0</v>
      </c>
      <c r="AD115"/>
      <c r="AE115"/>
    </row>
    <row r="116" spans="1:31" x14ac:dyDescent="0.3">
      <c r="A116" s="40">
        <v>89</v>
      </c>
      <c r="B116" s="14"/>
      <c r="C116" s="15"/>
      <c r="D116" s="12">
        <f t="shared" si="30"/>
        <v>0</v>
      </c>
      <c r="E116" s="13">
        <f t="shared" si="23"/>
        <v>0</v>
      </c>
      <c r="F116" s="13">
        <f t="shared" si="24"/>
        <v>0</v>
      </c>
      <c r="G116" s="13"/>
      <c r="I116" s="15"/>
      <c r="J116" s="15"/>
      <c r="K116" s="36">
        <f t="shared" si="25"/>
        <v>0</v>
      </c>
      <c r="L116" s="36"/>
      <c r="M116" s="16">
        <v>89</v>
      </c>
      <c r="N116" s="57"/>
      <c r="O116" s="50"/>
      <c r="P116" s="50"/>
      <c r="Q116" s="50"/>
      <c r="R116" s="50"/>
      <c r="T116" s="37">
        <f t="shared" si="26"/>
        <v>0</v>
      </c>
      <c r="U116" s="38">
        <f t="shared" si="27"/>
        <v>0</v>
      </c>
      <c r="W116" s="39">
        <f t="shared" si="28"/>
        <v>0</v>
      </c>
      <c r="X116" s="38">
        <f t="shared" si="29"/>
        <v>0</v>
      </c>
      <c r="AD116"/>
      <c r="AE116"/>
    </row>
    <row r="117" spans="1:31" x14ac:dyDescent="0.3">
      <c r="A117" s="40">
        <v>90</v>
      </c>
      <c r="B117" s="14"/>
      <c r="C117" s="15"/>
      <c r="D117" s="12">
        <f t="shared" si="30"/>
        <v>0</v>
      </c>
      <c r="E117" s="13">
        <f t="shared" si="23"/>
        <v>0</v>
      </c>
      <c r="F117" s="13">
        <f t="shared" si="24"/>
        <v>0</v>
      </c>
      <c r="G117" s="13"/>
      <c r="I117" s="15"/>
      <c r="J117" s="15"/>
      <c r="K117" s="36">
        <f t="shared" si="25"/>
        <v>0</v>
      </c>
      <c r="L117" s="36"/>
      <c r="M117" s="16">
        <v>90</v>
      </c>
      <c r="N117" s="57"/>
      <c r="O117" s="50"/>
      <c r="P117" s="50"/>
      <c r="Q117" s="50"/>
      <c r="R117" s="50"/>
      <c r="T117" s="37">
        <f t="shared" si="26"/>
        <v>0</v>
      </c>
      <c r="U117" s="38">
        <f t="shared" si="27"/>
        <v>0</v>
      </c>
      <c r="W117" s="39">
        <f t="shared" si="28"/>
        <v>0</v>
      </c>
      <c r="X117" s="38">
        <f t="shared" si="29"/>
        <v>0</v>
      </c>
      <c r="AD117"/>
      <c r="AE117"/>
    </row>
    <row r="118" spans="1:31" x14ac:dyDescent="0.3">
      <c r="A118" s="40">
        <v>91</v>
      </c>
      <c r="B118" s="14"/>
      <c r="C118" s="15"/>
      <c r="D118" s="12">
        <f t="shared" si="30"/>
        <v>0</v>
      </c>
      <c r="E118" s="13">
        <f t="shared" si="23"/>
        <v>0</v>
      </c>
      <c r="F118" s="13">
        <f t="shared" si="24"/>
        <v>0</v>
      </c>
      <c r="G118" s="13"/>
      <c r="I118" s="15"/>
      <c r="J118" s="15"/>
      <c r="K118" s="36">
        <f t="shared" si="25"/>
        <v>0</v>
      </c>
      <c r="L118" s="36"/>
      <c r="M118" s="16">
        <v>91</v>
      </c>
      <c r="N118" s="57"/>
      <c r="O118" s="50"/>
      <c r="P118" s="50"/>
      <c r="Q118" s="50"/>
      <c r="R118" s="50"/>
      <c r="T118" s="37">
        <f t="shared" si="26"/>
        <v>0</v>
      </c>
      <c r="U118" s="38">
        <f t="shared" si="27"/>
        <v>0</v>
      </c>
      <c r="W118" s="39">
        <f t="shared" si="28"/>
        <v>0</v>
      </c>
      <c r="X118" s="38">
        <f t="shared" si="29"/>
        <v>0</v>
      </c>
      <c r="AD118"/>
      <c r="AE118"/>
    </row>
    <row r="119" spans="1:31" x14ac:dyDescent="0.3">
      <c r="A119" s="40">
        <v>92</v>
      </c>
      <c r="B119" s="14"/>
      <c r="C119" s="15"/>
      <c r="D119" s="12">
        <f t="shared" si="30"/>
        <v>0</v>
      </c>
      <c r="E119" s="13">
        <f t="shared" si="23"/>
        <v>0</v>
      </c>
      <c r="F119" s="13">
        <f t="shared" si="24"/>
        <v>0</v>
      </c>
      <c r="G119" s="13"/>
      <c r="I119" s="15"/>
      <c r="J119" s="15"/>
      <c r="K119" s="36">
        <f t="shared" si="25"/>
        <v>0</v>
      </c>
      <c r="L119" s="36"/>
      <c r="M119" s="16">
        <v>92</v>
      </c>
      <c r="N119" s="57"/>
      <c r="O119" s="50"/>
      <c r="P119" s="50"/>
      <c r="Q119" s="50"/>
      <c r="R119" s="50"/>
      <c r="T119" s="37">
        <f t="shared" si="26"/>
        <v>0</v>
      </c>
      <c r="U119" s="38">
        <f t="shared" si="27"/>
        <v>0</v>
      </c>
      <c r="W119" s="39">
        <f t="shared" si="28"/>
        <v>0</v>
      </c>
      <c r="X119" s="38">
        <f t="shared" si="29"/>
        <v>0</v>
      </c>
      <c r="AD119"/>
      <c r="AE119"/>
    </row>
    <row r="120" spans="1:31" x14ac:dyDescent="0.3">
      <c r="A120" s="40">
        <v>93</v>
      </c>
      <c r="B120" s="14"/>
      <c r="C120" s="15"/>
      <c r="D120" s="12">
        <f t="shared" si="30"/>
        <v>0</v>
      </c>
      <c r="E120" s="13">
        <f t="shared" si="23"/>
        <v>0</v>
      </c>
      <c r="F120" s="13">
        <f t="shared" si="24"/>
        <v>0</v>
      </c>
      <c r="G120" s="13"/>
      <c r="I120" s="15"/>
      <c r="J120" s="15"/>
      <c r="K120" s="36">
        <f t="shared" si="25"/>
        <v>0</v>
      </c>
      <c r="L120" s="36"/>
      <c r="M120" s="16">
        <v>93</v>
      </c>
      <c r="N120" s="57"/>
      <c r="O120" s="50"/>
      <c r="P120" s="50"/>
      <c r="Q120" s="50"/>
      <c r="R120" s="50"/>
      <c r="T120" s="37">
        <f t="shared" si="26"/>
        <v>0</v>
      </c>
      <c r="U120" s="38">
        <f t="shared" si="27"/>
        <v>0</v>
      </c>
      <c r="W120" s="39">
        <f t="shared" si="28"/>
        <v>0</v>
      </c>
      <c r="X120" s="38">
        <f t="shared" si="29"/>
        <v>0</v>
      </c>
      <c r="AD120"/>
      <c r="AE120"/>
    </row>
    <row r="121" spans="1:31" x14ac:dyDescent="0.3">
      <c r="A121" s="40">
        <v>94</v>
      </c>
      <c r="B121" s="14"/>
      <c r="C121" s="15"/>
      <c r="D121" s="12">
        <f t="shared" si="30"/>
        <v>0</v>
      </c>
      <c r="E121" s="13">
        <f t="shared" si="23"/>
        <v>0</v>
      </c>
      <c r="F121" s="13">
        <f t="shared" si="24"/>
        <v>0</v>
      </c>
      <c r="G121" s="13"/>
      <c r="I121" s="15"/>
      <c r="J121" s="15"/>
      <c r="K121" s="36">
        <f t="shared" si="25"/>
        <v>0</v>
      </c>
      <c r="L121" s="36"/>
      <c r="M121" s="16">
        <v>94</v>
      </c>
      <c r="N121" s="57"/>
      <c r="O121" s="50"/>
      <c r="P121" s="50"/>
      <c r="Q121" s="50"/>
      <c r="R121" s="50"/>
      <c r="T121" s="37">
        <f t="shared" si="26"/>
        <v>0</v>
      </c>
      <c r="U121" s="38">
        <f t="shared" si="27"/>
        <v>0</v>
      </c>
      <c r="W121" s="39">
        <f t="shared" si="28"/>
        <v>0</v>
      </c>
      <c r="X121" s="38">
        <f t="shared" si="29"/>
        <v>0</v>
      </c>
      <c r="AD121"/>
      <c r="AE121"/>
    </row>
    <row r="122" spans="1:31" x14ac:dyDescent="0.3">
      <c r="A122" s="40">
        <v>95</v>
      </c>
      <c r="B122" s="14"/>
      <c r="C122" s="15"/>
      <c r="D122" s="12">
        <f t="shared" si="30"/>
        <v>0</v>
      </c>
      <c r="E122" s="13">
        <f t="shared" si="23"/>
        <v>0</v>
      </c>
      <c r="F122" s="13">
        <f t="shared" si="24"/>
        <v>0</v>
      </c>
      <c r="G122" s="13"/>
      <c r="I122" s="15"/>
      <c r="J122" s="15"/>
      <c r="K122" s="36">
        <f t="shared" si="25"/>
        <v>0</v>
      </c>
      <c r="L122" s="36"/>
      <c r="M122" s="16">
        <v>95</v>
      </c>
      <c r="N122" s="57"/>
      <c r="O122" s="50"/>
      <c r="P122" s="50"/>
      <c r="Q122" s="50"/>
      <c r="R122" s="50"/>
      <c r="T122" s="37">
        <f t="shared" si="26"/>
        <v>0</v>
      </c>
      <c r="U122" s="38">
        <f t="shared" si="27"/>
        <v>0</v>
      </c>
      <c r="W122" s="39">
        <f t="shared" si="28"/>
        <v>0</v>
      </c>
      <c r="X122" s="38">
        <f t="shared" si="29"/>
        <v>0</v>
      </c>
      <c r="AD122"/>
      <c r="AE122"/>
    </row>
    <row r="123" spans="1:31" x14ac:dyDescent="0.3">
      <c r="A123" s="40">
        <v>96</v>
      </c>
      <c r="B123" s="14"/>
      <c r="C123" s="15"/>
      <c r="D123" s="12">
        <f t="shared" si="30"/>
        <v>0</v>
      </c>
      <c r="E123" s="13">
        <f t="shared" si="23"/>
        <v>0</v>
      </c>
      <c r="F123" s="13">
        <f t="shared" si="24"/>
        <v>0</v>
      </c>
      <c r="G123" s="13"/>
      <c r="I123" s="15"/>
      <c r="J123" s="15"/>
      <c r="K123" s="36">
        <f t="shared" ref="K123:K147" si="31">J123+I123+B123</f>
        <v>0</v>
      </c>
      <c r="L123" s="36"/>
      <c r="M123" s="16">
        <v>96</v>
      </c>
      <c r="N123" s="57"/>
      <c r="O123" s="50"/>
      <c r="P123" s="50"/>
      <c r="Q123" s="50"/>
      <c r="R123" s="50"/>
      <c r="T123" s="37">
        <f t="shared" si="26"/>
        <v>0</v>
      </c>
      <c r="U123" s="38">
        <f t="shared" si="27"/>
        <v>0</v>
      </c>
      <c r="W123" s="39">
        <f t="shared" si="28"/>
        <v>0</v>
      </c>
      <c r="X123" s="38">
        <f t="shared" si="29"/>
        <v>0</v>
      </c>
      <c r="AD123"/>
      <c r="AE123"/>
    </row>
    <row r="124" spans="1:31" x14ac:dyDescent="0.3">
      <c r="A124" s="40">
        <v>97</v>
      </c>
      <c r="B124" s="14"/>
      <c r="C124" s="15"/>
      <c r="D124" s="12">
        <f t="shared" si="30"/>
        <v>0</v>
      </c>
      <c r="E124" s="13">
        <f t="shared" ref="E124:E147" si="32">IF(A124&lt;=$B$11,D124*C124/IF(A124&lt;=$B$17,A124,$B$17),0)</f>
        <v>0</v>
      </c>
      <c r="F124" s="13">
        <f t="shared" ref="F124:F147" si="33">IF(A124&lt;=$B$11,IF(OR($B$7="PM",$B$7="PP",$B$6="Popular"),MAX(50%,E124),E124),0)</f>
        <v>0</v>
      </c>
      <c r="G124" s="13"/>
      <c r="I124" s="15"/>
      <c r="J124" s="15"/>
      <c r="K124" s="36">
        <f t="shared" si="31"/>
        <v>0</v>
      </c>
      <c r="L124" s="36"/>
      <c r="M124" s="16">
        <v>97</v>
      </c>
      <c r="N124" s="57"/>
      <c r="O124" s="50"/>
      <c r="P124" s="50"/>
      <c r="Q124" s="50"/>
      <c r="R124" s="50"/>
      <c r="T124" s="37">
        <f t="shared" ref="T124:T147" si="34">I124*$B$12</f>
        <v>0</v>
      </c>
      <c r="U124" s="38">
        <f t="shared" ref="U124:U147" si="35">$T124*(B$14+1)^-($A124-1)</f>
        <v>0</v>
      </c>
      <c r="W124" s="39">
        <f t="shared" ref="W124:W147" si="36">N124+O124+P124+Q124+R124</f>
        <v>0</v>
      </c>
      <c r="X124" s="38">
        <f t="shared" ref="X124:X147" si="37">$W124*(B$14+1)^-($A124-1)</f>
        <v>0</v>
      </c>
      <c r="AD124"/>
      <c r="AE124"/>
    </row>
    <row r="125" spans="1:31" x14ac:dyDescent="0.3">
      <c r="A125" s="40">
        <v>98</v>
      </c>
      <c r="B125" s="14"/>
      <c r="C125" s="15"/>
      <c r="D125" s="12">
        <f t="shared" ref="D125:D147" si="38">IF(A125&lt;=$B$11,(D124 + B125)*(1+$B$13),0)</f>
        <v>0</v>
      </c>
      <c r="E125" s="13">
        <f t="shared" si="32"/>
        <v>0</v>
      </c>
      <c r="F125" s="13">
        <f t="shared" si="33"/>
        <v>0</v>
      </c>
      <c r="G125" s="13"/>
      <c r="I125" s="15"/>
      <c r="J125" s="15"/>
      <c r="K125" s="36">
        <f t="shared" si="31"/>
        <v>0</v>
      </c>
      <c r="L125" s="36"/>
      <c r="M125" s="16">
        <v>98</v>
      </c>
      <c r="N125" s="57"/>
      <c r="O125" s="50"/>
      <c r="P125" s="50"/>
      <c r="Q125" s="50"/>
      <c r="R125" s="50"/>
      <c r="T125" s="37">
        <f t="shared" si="34"/>
        <v>0</v>
      </c>
      <c r="U125" s="38">
        <f t="shared" si="35"/>
        <v>0</v>
      </c>
      <c r="W125" s="39">
        <f t="shared" si="36"/>
        <v>0</v>
      </c>
      <c r="X125" s="38">
        <f t="shared" si="37"/>
        <v>0</v>
      </c>
      <c r="AD125"/>
      <c r="AE125"/>
    </row>
    <row r="126" spans="1:31" x14ac:dyDescent="0.3">
      <c r="A126" s="40">
        <v>99</v>
      </c>
      <c r="B126" s="14"/>
      <c r="C126" s="15"/>
      <c r="D126" s="12">
        <f t="shared" si="38"/>
        <v>0</v>
      </c>
      <c r="E126" s="13">
        <f t="shared" si="32"/>
        <v>0</v>
      </c>
      <c r="F126" s="13">
        <f t="shared" si="33"/>
        <v>0</v>
      </c>
      <c r="G126" s="13"/>
      <c r="I126" s="15"/>
      <c r="J126" s="15"/>
      <c r="K126" s="36">
        <f t="shared" si="31"/>
        <v>0</v>
      </c>
      <c r="L126" s="36"/>
      <c r="M126" s="16">
        <v>99</v>
      </c>
      <c r="N126" s="57"/>
      <c r="O126" s="50"/>
      <c r="P126" s="50"/>
      <c r="Q126" s="50"/>
      <c r="R126" s="50"/>
      <c r="T126" s="37">
        <f t="shared" si="34"/>
        <v>0</v>
      </c>
      <c r="U126" s="38">
        <f t="shared" si="35"/>
        <v>0</v>
      </c>
      <c r="W126" s="39">
        <f t="shared" si="36"/>
        <v>0</v>
      </c>
      <c r="X126" s="38">
        <f t="shared" si="37"/>
        <v>0</v>
      </c>
      <c r="AD126"/>
      <c r="AE126"/>
    </row>
    <row r="127" spans="1:31" x14ac:dyDescent="0.3">
      <c r="A127" s="40">
        <v>100</v>
      </c>
      <c r="B127" s="14"/>
      <c r="C127" s="15"/>
      <c r="D127" s="12">
        <f t="shared" si="38"/>
        <v>0</v>
      </c>
      <c r="E127" s="13">
        <f t="shared" si="32"/>
        <v>0</v>
      </c>
      <c r="F127" s="13">
        <f t="shared" si="33"/>
        <v>0</v>
      </c>
      <c r="G127" s="13"/>
      <c r="I127" s="15"/>
      <c r="J127" s="15"/>
      <c r="K127" s="36">
        <f t="shared" si="31"/>
        <v>0</v>
      </c>
      <c r="L127" s="36"/>
      <c r="M127" s="16">
        <v>100</v>
      </c>
      <c r="N127" s="57"/>
      <c r="O127" s="50"/>
      <c r="P127" s="50"/>
      <c r="Q127" s="50"/>
      <c r="R127" s="50"/>
      <c r="T127" s="37">
        <f t="shared" si="34"/>
        <v>0</v>
      </c>
      <c r="U127" s="38">
        <f t="shared" si="35"/>
        <v>0</v>
      </c>
      <c r="W127" s="39">
        <f t="shared" si="36"/>
        <v>0</v>
      </c>
      <c r="X127" s="38">
        <f t="shared" si="37"/>
        <v>0</v>
      </c>
      <c r="AD127"/>
      <c r="AE127"/>
    </row>
    <row r="128" spans="1:31" x14ac:dyDescent="0.3">
      <c r="A128" s="40">
        <v>101</v>
      </c>
      <c r="B128" s="14"/>
      <c r="C128" s="15"/>
      <c r="D128" s="12">
        <f t="shared" si="38"/>
        <v>0</v>
      </c>
      <c r="E128" s="13">
        <f t="shared" si="32"/>
        <v>0</v>
      </c>
      <c r="F128" s="13">
        <f t="shared" si="33"/>
        <v>0</v>
      </c>
      <c r="G128" s="13"/>
      <c r="I128" s="15"/>
      <c r="J128" s="15"/>
      <c r="K128" s="36">
        <f t="shared" si="31"/>
        <v>0</v>
      </c>
      <c r="L128" s="36"/>
      <c r="M128" s="16">
        <v>101</v>
      </c>
      <c r="N128" s="57"/>
      <c r="O128" s="50"/>
      <c r="P128" s="50"/>
      <c r="Q128" s="50"/>
      <c r="R128" s="50"/>
      <c r="T128" s="37">
        <f t="shared" si="34"/>
        <v>0</v>
      </c>
      <c r="U128" s="38">
        <f t="shared" si="35"/>
        <v>0</v>
      </c>
      <c r="W128" s="39">
        <f t="shared" si="36"/>
        <v>0</v>
      </c>
      <c r="X128" s="38">
        <f t="shared" si="37"/>
        <v>0</v>
      </c>
      <c r="AD128"/>
      <c r="AE128"/>
    </row>
    <row r="129" spans="1:24" x14ac:dyDescent="0.3">
      <c r="A129" s="40">
        <v>102</v>
      </c>
      <c r="B129" s="14"/>
      <c r="C129" s="15"/>
      <c r="D129" s="12">
        <f t="shared" si="38"/>
        <v>0</v>
      </c>
      <c r="E129" s="13">
        <f t="shared" si="32"/>
        <v>0</v>
      </c>
      <c r="F129" s="13">
        <f t="shared" si="33"/>
        <v>0</v>
      </c>
      <c r="G129" s="13"/>
      <c r="I129" s="15"/>
      <c r="J129" s="15"/>
      <c r="K129" s="36">
        <f t="shared" si="31"/>
        <v>0</v>
      </c>
      <c r="L129" s="36"/>
      <c r="M129" s="16">
        <v>102</v>
      </c>
      <c r="N129" s="57"/>
      <c r="O129" s="50"/>
      <c r="P129" s="50"/>
      <c r="Q129" s="50"/>
      <c r="R129" s="50"/>
      <c r="T129" s="37">
        <f t="shared" si="34"/>
        <v>0</v>
      </c>
      <c r="U129" s="38">
        <f t="shared" si="35"/>
        <v>0</v>
      </c>
      <c r="W129" s="39">
        <f t="shared" si="36"/>
        <v>0</v>
      </c>
      <c r="X129" s="38">
        <f t="shared" si="37"/>
        <v>0</v>
      </c>
    </row>
    <row r="130" spans="1:24" x14ac:dyDescent="0.3">
      <c r="A130" s="40">
        <v>103</v>
      </c>
      <c r="B130" s="14"/>
      <c r="C130" s="15"/>
      <c r="D130" s="12">
        <f t="shared" si="38"/>
        <v>0</v>
      </c>
      <c r="E130" s="13">
        <f t="shared" si="32"/>
        <v>0</v>
      </c>
      <c r="F130" s="13">
        <f t="shared" si="33"/>
        <v>0</v>
      </c>
      <c r="G130" s="13"/>
      <c r="I130" s="15"/>
      <c r="J130" s="15"/>
      <c r="K130" s="36">
        <f t="shared" si="31"/>
        <v>0</v>
      </c>
      <c r="L130" s="36"/>
      <c r="M130" s="16">
        <v>103</v>
      </c>
      <c r="N130" s="57"/>
      <c r="O130" s="50"/>
      <c r="P130" s="50"/>
      <c r="Q130" s="50"/>
      <c r="R130" s="50"/>
      <c r="T130" s="37">
        <f t="shared" si="34"/>
        <v>0</v>
      </c>
      <c r="U130" s="38">
        <f t="shared" si="35"/>
        <v>0</v>
      </c>
      <c r="W130" s="39">
        <f t="shared" si="36"/>
        <v>0</v>
      </c>
      <c r="X130" s="38">
        <f t="shared" si="37"/>
        <v>0</v>
      </c>
    </row>
    <row r="131" spans="1:24" x14ac:dyDescent="0.3">
      <c r="A131" s="40">
        <v>104</v>
      </c>
      <c r="B131" s="14"/>
      <c r="C131" s="15"/>
      <c r="D131" s="12">
        <f t="shared" si="38"/>
        <v>0</v>
      </c>
      <c r="E131" s="13">
        <f t="shared" si="32"/>
        <v>0</v>
      </c>
      <c r="F131" s="13">
        <f t="shared" si="33"/>
        <v>0</v>
      </c>
      <c r="G131" s="13"/>
      <c r="I131" s="15"/>
      <c r="J131" s="15"/>
      <c r="K131" s="36">
        <f t="shared" si="31"/>
        <v>0</v>
      </c>
      <c r="L131" s="36"/>
      <c r="M131" s="16">
        <v>104</v>
      </c>
      <c r="N131" s="57"/>
      <c r="O131" s="50"/>
      <c r="P131" s="50"/>
      <c r="Q131" s="50"/>
      <c r="R131" s="50"/>
      <c r="T131" s="37">
        <f t="shared" si="34"/>
        <v>0</v>
      </c>
      <c r="U131" s="38">
        <f t="shared" si="35"/>
        <v>0</v>
      </c>
      <c r="W131" s="39">
        <f t="shared" si="36"/>
        <v>0</v>
      </c>
      <c r="X131" s="38">
        <f t="shared" si="37"/>
        <v>0</v>
      </c>
    </row>
    <row r="132" spans="1:24" x14ac:dyDescent="0.3">
      <c r="A132" s="40">
        <v>105</v>
      </c>
      <c r="B132" s="14"/>
      <c r="C132" s="15"/>
      <c r="D132" s="12">
        <f t="shared" si="38"/>
        <v>0</v>
      </c>
      <c r="E132" s="13">
        <f t="shared" si="32"/>
        <v>0</v>
      </c>
      <c r="F132" s="13">
        <f t="shared" si="33"/>
        <v>0</v>
      </c>
      <c r="G132" s="13"/>
      <c r="I132" s="15"/>
      <c r="J132" s="15"/>
      <c r="K132" s="36">
        <f t="shared" si="31"/>
        <v>0</v>
      </c>
      <c r="L132" s="36"/>
      <c r="M132" s="16">
        <v>105</v>
      </c>
      <c r="N132" s="57"/>
      <c r="O132" s="50"/>
      <c r="P132" s="50"/>
      <c r="Q132" s="50"/>
      <c r="R132" s="50"/>
      <c r="T132" s="37">
        <f t="shared" si="34"/>
        <v>0</v>
      </c>
      <c r="U132" s="38">
        <f t="shared" si="35"/>
        <v>0</v>
      </c>
      <c r="W132" s="39">
        <f t="shared" si="36"/>
        <v>0</v>
      </c>
      <c r="X132" s="38">
        <f t="shared" si="37"/>
        <v>0</v>
      </c>
    </row>
    <row r="133" spans="1:24" x14ac:dyDescent="0.3">
      <c r="A133" s="40">
        <v>106</v>
      </c>
      <c r="B133" s="14"/>
      <c r="C133" s="15"/>
      <c r="D133" s="12">
        <f t="shared" si="38"/>
        <v>0</v>
      </c>
      <c r="E133" s="13">
        <f t="shared" si="32"/>
        <v>0</v>
      </c>
      <c r="F133" s="13">
        <f t="shared" si="33"/>
        <v>0</v>
      </c>
      <c r="G133" s="13"/>
      <c r="I133" s="15"/>
      <c r="J133" s="15"/>
      <c r="K133" s="36">
        <f t="shared" si="31"/>
        <v>0</v>
      </c>
      <c r="L133" s="36"/>
      <c r="M133" s="16">
        <v>106</v>
      </c>
      <c r="N133" s="57"/>
      <c r="O133" s="50"/>
      <c r="P133" s="50"/>
      <c r="Q133" s="50"/>
      <c r="R133" s="50"/>
      <c r="T133" s="37">
        <f t="shared" si="34"/>
        <v>0</v>
      </c>
      <c r="U133" s="38">
        <f t="shared" si="35"/>
        <v>0</v>
      </c>
      <c r="W133" s="39">
        <f t="shared" si="36"/>
        <v>0</v>
      </c>
      <c r="X133" s="38">
        <f t="shared" si="37"/>
        <v>0</v>
      </c>
    </row>
    <row r="134" spans="1:24" x14ac:dyDescent="0.3">
      <c r="A134" s="40">
        <v>107</v>
      </c>
      <c r="B134" s="14"/>
      <c r="C134" s="15"/>
      <c r="D134" s="12">
        <f t="shared" si="38"/>
        <v>0</v>
      </c>
      <c r="E134" s="13">
        <f t="shared" si="32"/>
        <v>0</v>
      </c>
      <c r="F134" s="13">
        <f t="shared" si="33"/>
        <v>0</v>
      </c>
      <c r="G134" s="13"/>
      <c r="I134" s="15"/>
      <c r="J134" s="15"/>
      <c r="K134" s="36">
        <f t="shared" si="31"/>
        <v>0</v>
      </c>
      <c r="L134" s="36"/>
      <c r="M134" s="16">
        <v>107</v>
      </c>
      <c r="N134" s="57"/>
      <c r="O134" s="50"/>
      <c r="P134" s="50"/>
      <c r="Q134" s="50"/>
      <c r="R134" s="50"/>
      <c r="T134" s="37">
        <f t="shared" si="34"/>
        <v>0</v>
      </c>
      <c r="U134" s="38">
        <f t="shared" si="35"/>
        <v>0</v>
      </c>
      <c r="W134" s="39">
        <f t="shared" si="36"/>
        <v>0</v>
      </c>
      <c r="X134" s="38">
        <f t="shared" si="37"/>
        <v>0</v>
      </c>
    </row>
    <row r="135" spans="1:24" x14ac:dyDescent="0.3">
      <c r="A135" s="40">
        <v>108</v>
      </c>
      <c r="B135" s="14"/>
      <c r="C135" s="15"/>
      <c r="D135" s="12">
        <f t="shared" si="38"/>
        <v>0</v>
      </c>
      <c r="E135" s="13">
        <f t="shared" si="32"/>
        <v>0</v>
      </c>
      <c r="F135" s="13">
        <f t="shared" si="33"/>
        <v>0</v>
      </c>
      <c r="G135" s="13"/>
      <c r="I135" s="15"/>
      <c r="J135" s="15"/>
      <c r="K135" s="36">
        <f t="shared" si="31"/>
        <v>0</v>
      </c>
      <c r="L135" s="36"/>
      <c r="M135" s="16">
        <v>108</v>
      </c>
      <c r="N135" s="57"/>
      <c r="O135" s="50"/>
      <c r="P135" s="50"/>
      <c r="Q135" s="50"/>
      <c r="R135" s="50"/>
      <c r="T135" s="37">
        <f t="shared" si="34"/>
        <v>0</v>
      </c>
      <c r="U135" s="38">
        <f t="shared" si="35"/>
        <v>0</v>
      </c>
      <c r="W135" s="39">
        <f t="shared" si="36"/>
        <v>0</v>
      </c>
      <c r="X135" s="38">
        <f t="shared" si="37"/>
        <v>0</v>
      </c>
    </row>
    <row r="136" spans="1:24" x14ac:dyDescent="0.3">
      <c r="A136" s="40">
        <v>109</v>
      </c>
      <c r="B136" s="14"/>
      <c r="C136" s="15"/>
      <c r="D136" s="12">
        <f t="shared" si="38"/>
        <v>0</v>
      </c>
      <c r="E136" s="13">
        <f t="shared" si="32"/>
        <v>0</v>
      </c>
      <c r="F136" s="13">
        <f t="shared" si="33"/>
        <v>0</v>
      </c>
      <c r="G136" s="13"/>
      <c r="I136" s="15"/>
      <c r="J136" s="15"/>
      <c r="K136" s="36">
        <f t="shared" si="31"/>
        <v>0</v>
      </c>
      <c r="L136" s="36"/>
      <c r="M136" s="16">
        <v>109</v>
      </c>
      <c r="N136" s="57"/>
      <c r="O136" s="50"/>
      <c r="P136" s="50"/>
      <c r="Q136" s="50"/>
      <c r="R136" s="50"/>
      <c r="T136" s="37">
        <f t="shared" si="34"/>
        <v>0</v>
      </c>
      <c r="U136" s="38">
        <f t="shared" si="35"/>
        <v>0</v>
      </c>
      <c r="W136" s="39">
        <f t="shared" si="36"/>
        <v>0</v>
      </c>
      <c r="X136" s="38">
        <f t="shared" si="37"/>
        <v>0</v>
      </c>
    </row>
    <row r="137" spans="1:24" x14ac:dyDescent="0.3">
      <c r="A137" s="40">
        <v>110</v>
      </c>
      <c r="B137" s="14"/>
      <c r="C137" s="15"/>
      <c r="D137" s="12">
        <f t="shared" si="38"/>
        <v>0</v>
      </c>
      <c r="E137" s="13">
        <f t="shared" si="32"/>
        <v>0</v>
      </c>
      <c r="F137" s="13">
        <f t="shared" si="33"/>
        <v>0</v>
      </c>
      <c r="G137" s="13"/>
      <c r="I137" s="15"/>
      <c r="J137" s="15"/>
      <c r="K137" s="36">
        <f t="shared" si="31"/>
        <v>0</v>
      </c>
      <c r="L137" s="36"/>
      <c r="M137" s="16">
        <v>110</v>
      </c>
      <c r="N137" s="57"/>
      <c r="O137" s="50"/>
      <c r="P137" s="50"/>
      <c r="Q137" s="50"/>
      <c r="R137" s="50"/>
      <c r="T137" s="37">
        <f t="shared" si="34"/>
        <v>0</v>
      </c>
      <c r="U137" s="38">
        <f t="shared" si="35"/>
        <v>0</v>
      </c>
      <c r="W137" s="39">
        <f t="shared" si="36"/>
        <v>0</v>
      </c>
      <c r="X137" s="38">
        <f t="shared" si="37"/>
        <v>0</v>
      </c>
    </row>
    <row r="138" spans="1:24" x14ac:dyDescent="0.3">
      <c r="A138" s="40">
        <v>111</v>
      </c>
      <c r="B138" s="14"/>
      <c r="C138" s="15"/>
      <c r="D138" s="12">
        <f t="shared" si="38"/>
        <v>0</v>
      </c>
      <c r="E138" s="13">
        <f t="shared" si="32"/>
        <v>0</v>
      </c>
      <c r="F138" s="13">
        <f t="shared" si="33"/>
        <v>0</v>
      </c>
      <c r="G138" s="13"/>
      <c r="I138" s="15"/>
      <c r="J138" s="15"/>
      <c r="K138" s="36">
        <f t="shared" si="31"/>
        <v>0</v>
      </c>
      <c r="L138" s="36"/>
      <c r="M138" s="16">
        <v>111</v>
      </c>
      <c r="N138" s="57"/>
      <c r="O138" s="50"/>
      <c r="P138" s="50"/>
      <c r="Q138" s="50"/>
      <c r="R138" s="50"/>
      <c r="T138" s="37">
        <f t="shared" si="34"/>
        <v>0</v>
      </c>
      <c r="U138" s="38">
        <f t="shared" si="35"/>
        <v>0</v>
      </c>
      <c r="W138" s="39">
        <f t="shared" si="36"/>
        <v>0</v>
      </c>
      <c r="X138" s="38">
        <f t="shared" si="37"/>
        <v>0</v>
      </c>
    </row>
    <row r="139" spans="1:24" x14ac:dyDescent="0.3">
      <c r="A139" s="40">
        <v>112</v>
      </c>
      <c r="B139" s="14"/>
      <c r="C139" s="15"/>
      <c r="D139" s="12">
        <f t="shared" si="38"/>
        <v>0</v>
      </c>
      <c r="E139" s="13">
        <f t="shared" si="32"/>
        <v>0</v>
      </c>
      <c r="F139" s="13">
        <f t="shared" si="33"/>
        <v>0</v>
      </c>
      <c r="G139" s="13"/>
      <c r="I139" s="15"/>
      <c r="J139" s="15"/>
      <c r="K139" s="36">
        <f t="shared" si="31"/>
        <v>0</v>
      </c>
      <c r="L139" s="36"/>
      <c r="M139" s="16">
        <v>112</v>
      </c>
      <c r="N139" s="57"/>
      <c r="O139" s="50"/>
      <c r="P139" s="50"/>
      <c r="Q139" s="50"/>
      <c r="R139" s="50"/>
      <c r="T139" s="37">
        <f t="shared" si="34"/>
        <v>0</v>
      </c>
      <c r="U139" s="38">
        <f t="shared" si="35"/>
        <v>0</v>
      </c>
      <c r="W139" s="39">
        <f t="shared" si="36"/>
        <v>0</v>
      </c>
      <c r="X139" s="38">
        <f t="shared" si="37"/>
        <v>0</v>
      </c>
    </row>
    <row r="140" spans="1:24" x14ac:dyDescent="0.3">
      <c r="A140" s="40">
        <v>113</v>
      </c>
      <c r="B140" s="14"/>
      <c r="C140" s="15"/>
      <c r="D140" s="12">
        <f t="shared" si="38"/>
        <v>0</v>
      </c>
      <c r="E140" s="13">
        <f t="shared" si="32"/>
        <v>0</v>
      </c>
      <c r="F140" s="13">
        <f t="shared" si="33"/>
        <v>0</v>
      </c>
      <c r="G140" s="13"/>
      <c r="I140" s="15"/>
      <c r="J140" s="15"/>
      <c r="K140" s="36">
        <f t="shared" si="31"/>
        <v>0</v>
      </c>
      <c r="L140" s="36"/>
      <c r="M140" s="16">
        <v>113</v>
      </c>
      <c r="N140" s="57"/>
      <c r="O140" s="50"/>
      <c r="P140" s="50"/>
      <c r="Q140" s="50"/>
      <c r="R140" s="50"/>
      <c r="T140" s="37">
        <f t="shared" si="34"/>
        <v>0</v>
      </c>
      <c r="U140" s="38">
        <f t="shared" si="35"/>
        <v>0</v>
      </c>
      <c r="W140" s="39">
        <f t="shared" si="36"/>
        <v>0</v>
      </c>
      <c r="X140" s="38">
        <f t="shared" si="37"/>
        <v>0</v>
      </c>
    </row>
    <row r="141" spans="1:24" x14ac:dyDescent="0.3">
      <c r="A141" s="40">
        <v>114</v>
      </c>
      <c r="B141" s="14"/>
      <c r="C141" s="15"/>
      <c r="D141" s="12">
        <f t="shared" si="38"/>
        <v>0</v>
      </c>
      <c r="E141" s="13">
        <f t="shared" si="32"/>
        <v>0</v>
      </c>
      <c r="F141" s="13">
        <f t="shared" si="33"/>
        <v>0</v>
      </c>
      <c r="G141" s="13"/>
      <c r="I141" s="15"/>
      <c r="J141" s="15"/>
      <c r="K141" s="36">
        <f t="shared" si="31"/>
        <v>0</v>
      </c>
      <c r="L141" s="36"/>
      <c r="M141" s="16">
        <v>114</v>
      </c>
      <c r="N141" s="57"/>
      <c r="O141" s="50"/>
      <c r="P141" s="50"/>
      <c r="Q141" s="50"/>
      <c r="R141" s="50"/>
      <c r="T141" s="37">
        <f t="shared" si="34"/>
        <v>0</v>
      </c>
      <c r="U141" s="38">
        <f t="shared" si="35"/>
        <v>0</v>
      </c>
      <c r="W141" s="39">
        <f t="shared" si="36"/>
        <v>0</v>
      </c>
      <c r="X141" s="38">
        <f t="shared" si="37"/>
        <v>0</v>
      </c>
    </row>
    <row r="142" spans="1:24" x14ac:dyDescent="0.3">
      <c r="A142" s="40">
        <v>115</v>
      </c>
      <c r="B142" s="14"/>
      <c r="C142" s="15"/>
      <c r="D142" s="12">
        <f t="shared" si="38"/>
        <v>0</v>
      </c>
      <c r="E142" s="13">
        <f t="shared" si="32"/>
        <v>0</v>
      </c>
      <c r="F142" s="13">
        <f t="shared" si="33"/>
        <v>0</v>
      </c>
      <c r="G142" s="13"/>
      <c r="I142" s="15"/>
      <c r="J142" s="15"/>
      <c r="K142" s="36">
        <f t="shared" si="31"/>
        <v>0</v>
      </c>
      <c r="L142" s="36"/>
      <c r="M142" s="16">
        <v>115</v>
      </c>
      <c r="N142" s="57"/>
      <c r="O142" s="50"/>
      <c r="P142" s="50"/>
      <c r="Q142" s="50"/>
      <c r="R142" s="50"/>
      <c r="T142" s="37">
        <f t="shared" si="34"/>
        <v>0</v>
      </c>
      <c r="U142" s="38">
        <f t="shared" si="35"/>
        <v>0</v>
      </c>
      <c r="W142" s="39">
        <f t="shared" si="36"/>
        <v>0</v>
      </c>
      <c r="X142" s="38">
        <f t="shared" si="37"/>
        <v>0</v>
      </c>
    </row>
    <row r="143" spans="1:24" x14ac:dyDescent="0.3">
      <c r="A143" s="40">
        <v>116</v>
      </c>
      <c r="B143" s="14"/>
      <c r="C143" s="15"/>
      <c r="D143" s="12">
        <f t="shared" si="38"/>
        <v>0</v>
      </c>
      <c r="E143" s="13">
        <f t="shared" si="32"/>
        <v>0</v>
      </c>
      <c r="F143" s="13">
        <f t="shared" si="33"/>
        <v>0</v>
      </c>
      <c r="G143" s="13"/>
      <c r="I143" s="15"/>
      <c r="J143" s="15"/>
      <c r="K143" s="36">
        <f t="shared" si="31"/>
        <v>0</v>
      </c>
      <c r="L143" s="36"/>
      <c r="M143" s="16">
        <v>116</v>
      </c>
      <c r="N143" s="57"/>
      <c r="O143" s="50"/>
      <c r="P143" s="50"/>
      <c r="Q143" s="50"/>
      <c r="R143" s="50"/>
      <c r="T143" s="37">
        <f t="shared" si="34"/>
        <v>0</v>
      </c>
      <c r="U143" s="38">
        <f t="shared" si="35"/>
        <v>0</v>
      </c>
      <c r="W143" s="39">
        <f t="shared" si="36"/>
        <v>0</v>
      </c>
      <c r="X143" s="38">
        <f t="shared" si="37"/>
        <v>0</v>
      </c>
    </row>
    <row r="144" spans="1:24" x14ac:dyDescent="0.3">
      <c r="A144" s="40">
        <v>117</v>
      </c>
      <c r="B144" s="14"/>
      <c r="C144" s="15"/>
      <c r="D144" s="12">
        <f t="shared" si="38"/>
        <v>0</v>
      </c>
      <c r="E144" s="13">
        <f t="shared" si="32"/>
        <v>0</v>
      </c>
      <c r="F144" s="13">
        <f t="shared" si="33"/>
        <v>0</v>
      </c>
      <c r="G144" s="13"/>
      <c r="I144" s="15"/>
      <c r="J144" s="15"/>
      <c r="K144" s="36">
        <f t="shared" si="31"/>
        <v>0</v>
      </c>
      <c r="L144" s="36"/>
      <c r="M144" s="16">
        <v>117</v>
      </c>
      <c r="N144" s="57"/>
      <c r="O144" s="50"/>
      <c r="P144" s="50"/>
      <c r="Q144" s="50"/>
      <c r="R144" s="50"/>
      <c r="T144" s="37">
        <f t="shared" si="34"/>
        <v>0</v>
      </c>
      <c r="U144" s="38">
        <f t="shared" si="35"/>
        <v>0</v>
      </c>
      <c r="W144" s="39">
        <f t="shared" si="36"/>
        <v>0</v>
      </c>
      <c r="X144" s="38">
        <f t="shared" si="37"/>
        <v>0</v>
      </c>
    </row>
    <row r="145" spans="1:24" x14ac:dyDescent="0.3">
      <c r="A145" s="40">
        <v>118</v>
      </c>
      <c r="B145" s="14"/>
      <c r="C145" s="15"/>
      <c r="D145" s="12">
        <f t="shared" si="38"/>
        <v>0</v>
      </c>
      <c r="E145" s="13">
        <f t="shared" si="32"/>
        <v>0</v>
      </c>
      <c r="F145" s="13">
        <f t="shared" si="33"/>
        <v>0</v>
      </c>
      <c r="G145" s="13"/>
      <c r="I145" s="15"/>
      <c r="J145" s="15"/>
      <c r="K145" s="36">
        <f t="shared" si="31"/>
        <v>0</v>
      </c>
      <c r="L145" s="36"/>
      <c r="M145" s="16">
        <v>118</v>
      </c>
      <c r="N145" s="57"/>
      <c r="O145" s="50"/>
      <c r="P145" s="50"/>
      <c r="Q145" s="50"/>
      <c r="R145" s="50"/>
      <c r="T145" s="37">
        <f t="shared" si="34"/>
        <v>0</v>
      </c>
      <c r="U145" s="38">
        <f t="shared" si="35"/>
        <v>0</v>
      </c>
      <c r="W145" s="39">
        <f t="shared" si="36"/>
        <v>0</v>
      </c>
      <c r="X145" s="38">
        <f t="shared" si="37"/>
        <v>0</v>
      </c>
    </row>
    <row r="146" spans="1:24" x14ac:dyDescent="0.3">
      <c r="A146" s="40">
        <v>119</v>
      </c>
      <c r="B146" s="14"/>
      <c r="C146" s="15"/>
      <c r="D146" s="12">
        <f t="shared" si="38"/>
        <v>0</v>
      </c>
      <c r="E146" s="13">
        <f t="shared" si="32"/>
        <v>0</v>
      </c>
      <c r="F146" s="13">
        <f t="shared" si="33"/>
        <v>0</v>
      </c>
      <c r="G146" s="13"/>
      <c r="I146" s="15"/>
      <c r="J146" s="15"/>
      <c r="K146" s="36">
        <f t="shared" si="31"/>
        <v>0</v>
      </c>
      <c r="L146" s="36"/>
      <c r="M146" s="16">
        <v>119</v>
      </c>
      <c r="N146" s="57"/>
      <c r="O146" s="50"/>
      <c r="P146" s="50"/>
      <c r="Q146" s="50"/>
      <c r="R146" s="50"/>
      <c r="T146" s="37">
        <f t="shared" si="34"/>
        <v>0</v>
      </c>
      <c r="U146" s="38">
        <f t="shared" si="35"/>
        <v>0</v>
      </c>
      <c r="W146" s="39">
        <f t="shared" si="36"/>
        <v>0</v>
      </c>
      <c r="X146" s="38">
        <f t="shared" si="37"/>
        <v>0</v>
      </c>
    </row>
    <row r="147" spans="1:24" x14ac:dyDescent="0.3">
      <c r="A147" s="40">
        <v>120</v>
      </c>
      <c r="B147" s="14"/>
      <c r="C147" s="15"/>
      <c r="D147" s="12">
        <f t="shared" si="38"/>
        <v>0</v>
      </c>
      <c r="E147" s="13">
        <f t="shared" si="32"/>
        <v>0</v>
      </c>
      <c r="F147" s="13">
        <f t="shared" si="33"/>
        <v>0</v>
      </c>
      <c r="G147" s="13"/>
      <c r="I147" s="15"/>
      <c r="J147" s="15"/>
      <c r="K147" s="36">
        <f t="shared" si="31"/>
        <v>0</v>
      </c>
      <c r="L147" s="36"/>
      <c r="M147" s="16">
        <v>120</v>
      </c>
      <c r="N147" s="57"/>
      <c r="O147" s="50"/>
      <c r="P147" s="50"/>
      <c r="Q147" s="50"/>
      <c r="R147" s="50"/>
      <c r="T147" s="37">
        <f t="shared" si="34"/>
        <v>0</v>
      </c>
      <c r="U147" s="38">
        <f t="shared" si="35"/>
        <v>0</v>
      </c>
      <c r="W147" s="39">
        <f t="shared" si="36"/>
        <v>0</v>
      </c>
      <c r="X147" s="38">
        <f t="shared" si="37"/>
        <v>0</v>
      </c>
    </row>
  </sheetData>
  <sheetProtection algorithmName="SHA-512" hashValue="U1IkIiQ80uZvOxQpTevN7QeG32MDFa0U+U+1RscMh6jTcVIjbnRFd4yeiPdAwk9EmLP2UPaWNQ2eE3KQpbhpSQ==" saltValue="PEJ4Z57JRi813LEAQs6cLg==" spinCount="100000" sheet="1" objects="1" scenarios="1"/>
  <dataConsolidate/>
  <mergeCells count="4">
    <mergeCell ref="N20:R21"/>
    <mergeCell ref="N23:R24"/>
    <mergeCell ref="A26:B26"/>
    <mergeCell ref="AC67:AH67"/>
  </mergeCells>
  <conditionalFormatting sqref="B5">
    <cfRule type="notContainsBlanks" dxfId="38" priority="183">
      <formula>LEN(TRIM(B5))&gt;0</formula>
    </cfRule>
    <cfRule type="containsBlanks" dxfId="37" priority="184">
      <formula>LEN(TRIM(B5))=0</formula>
    </cfRule>
  </conditionalFormatting>
  <conditionalFormatting sqref="B7">
    <cfRule type="notContainsBlanks" dxfId="36" priority="179">
      <formula>LEN(TRIM(B7))&gt;0</formula>
    </cfRule>
    <cfRule type="containsBlanks" dxfId="35" priority="180">
      <formula>LEN(TRIM(B7))=0</formula>
    </cfRule>
  </conditionalFormatting>
  <conditionalFormatting sqref="B4">
    <cfRule type="notContainsBlanks" dxfId="34" priority="138">
      <formula>LEN(TRIM(B4))&gt;0</formula>
    </cfRule>
    <cfRule type="containsBlanks" dxfId="33" priority="139">
      <formula>LEN(TRIM(B4))=0</formula>
    </cfRule>
  </conditionalFormatting>
  <conditionalFormatting sqref="B13">
    <cfRule type="notContainsBlanks" dxfId="32" priority="136">
      <formula>LEN(TRIM(B13))&gt;0</formula>
    </cfRule>
    <cfRule type="containsBlanks" dxfId="31" priority="137">
      <formula>LEN(TRIM(B13))=0</formula>
    </cfRule>
  </conditionalFormatting>
  <conditionalFormatting sqref="B12">
    <cfRule type="notContainsBlanks" dxfId="30" priority="133">
      <formula>LEN(TRIM(B12))&gt;0</formula>
    </cfRule>
    <cfRule type="containsBlanks" dxfId="29" priority="134">
      <formula>LEN(TRIM(B12))=0</formula>
    </cfRule>
  </conditionalFormatting>
  <conditionalFormatting sqref="B15">
    <cfRule type="notContainsBlanks" dxfId="28" priority="131">
      <formula>LEN(TRIM(B15))&gt;0</formula>
    </cfRule>
    <cfRule type="containsBlanks" dxfId="27" priority="132">
      <formula>LEN(TRIM(B15))=0</formula>
    </cfRule>
  </conditionalFormatting>
  <conditionalFormatting sqref="B11">
    <cfRule type="notContainsBlanks" dxfId="26" priority="127">
      <formula>LEN(TRIM(B11))&gt;0</formula>
    </cfRule>
    <cfRule type="containsBlanks" dxfId="25" priority="128">
      <formula>LEN(TRIM(B11))=0</formula>
    </cfRule>
  </conditionalFormatting>
  <conditionalFormatting sqref="B14">
    <cfRule type="notContainsBlanks" dxfId="24" priority="123">
      <formula>LEN(TRIM(B14))&gt;0</formula>
    </cfRule>
    <cfRule type="containsBlanks" dxfId="23" priority="124">
      <formula>LEN(TRIM(B14))=0</formula>
    </cfRule>
  </conditionalFormatting>
  <conditionalFormatting sqref="B16">
    <cfRule type="notContainsBlanks" dxfId="22" priority="86">
      <formula>LEN(TRIM(B16))&gt;0</formula>
    </cfRule>
    <cfRule type="containsBlanks" dxfId="21" priority="87">
      <formula>LEN(TRIM(B16))=0</formula>
    </cfRule>
  </conditionalFormatting>
  <conditionalFormatting sqref="B8">
    <cfRule type="notContainsBlanks" dxfId="20" priority="84">
      <formula>LEN(TRIM(B8))&gt;0</formula>
    </cfRule>
    <cfRule type="containsBlanks" dxfId="19" priority="85">
      <formula>LEN(TRIM(B8))=0</formula>
    </cfRule>
  </conditionalFormatting>
  <conditionalFormatting sqref="N28">
    <cfRule type="expression" dxfId="18" priority="51">
      <formula>IF(AND($A28&lt;=$A28,N28&gt;=0),1,0)</formula>
    </cfRule>
  </conditionalFormatting>
  <conditionalFormatting sqref="N28">
    <cfRule type="expression" dxfId="17" priority="52">
      <formula>IF($A28&lt;=$A$28,1,0)</formula>
    </cfRule>
  </conditionalFormatting>
  <conditionalFormatting sqref="B18">
    <cfRule type="notContainsBlanks" dxfId="16" priority="9">
      <formula>LEN(TRIM(B18))&gt;0</formula>
    </cfRule>
    <cfRule type="containsBlanks" dxfId="15" priority="10">
      <formula>LEN(TRIM(B18))=0</formula>
    </cfRule>
  </conditionalFormatting>
  <conditionalFormatting sqref="B6">
    <cfRule type="notContainsBlanks" dxfId="14" priority="7">
      <formula>LEN(TRIM(B6))&gt;0</formula>
    </cfRule>
    <cfRule type="containsBlanks" dxfId="13" priority="8">
      <formula>LEN(TRIM(B6))=0</formula>
    </cfRule>
  </conditionalFormatting>
  <conditionalFormatting sqref="B22">
    <cfRule type="notContainsBlanks" dxfId="12" priority="5">
      <formula>LEN(TRIM(B22))&gt;0</formula>
    </cfRule>
    <cfRule type="containsBlanks" dxfId="11" priority="6">
      <formula>LEN(TRIM(B22))=0</formula>
    </cfRule>
  </conditionalFormatting>
  <conditionalFormatting sqref="B21">
    <cfRule type="notContainsBlanks" dxfId="10" priority="3">
      <formula>LEN(TRIM(B21))&gt;0</formula>
    </cfRule>
    <cfRule type="containsBlanks" dxfId="9" priority="4">
      <formula>LEN(TRIM(B21))=0</formula>
    </cfRule>
  </conditionalFormatting>
  <conditionalFormatting sqref="B17">
    <cfRule type="expression" dxfId="8" priority="298">
      <formula>IF(AND(B7="PU",B17=1),0,IF(AND(B7="PM",B17=B11),0,IF(AND(B7="PP",B17&gt;1,B17&lt;=B11),0,1)))</formula>
    </cfRule>
    <cfRule type="containsBlanks" dxfId="7" priority="299">
      <formula>LEN(TRIM(B17))=0</formula>
    </cfRule>
    <cfRule type="notContainsBlanks" dxfId="6" priority="300">
      <formula>LEN(TRIM(B17))&gt;0</formula>
    </cfRule>
  </conditionalFormatting>
  <conditionalFormatting sqref="C28:C147">
    <cfRule type="expression" dxfId="5" priority="301">
      <formula>IF(AND($A28&lt;=$B$11,C28&gt;=90%),1,0)</formula>
    </cfRule>
  </conditionalFormatting>
  <conditionalFormatting sqref="C28:C147">
    <cfRule type="expression" dxfId="4" priority="302">
      <formula>IF($A28&lt;=$B$11,1,0)</formula>
    </cfRule>
  </conditionalFormatting>
  <conditionalFormatting sqref="O28:R147">
    <cfRule type="expression" dxfId="3" priority="303">
      <formula>IF(AND($A28&lt;=$B$11,O28&gt;=0),1,0)</formula>
    </cfRule>
  </conditionalFormatting>
  <conditionalFormatting sqref="O28:R147">
    <cfRule type="expression" dxfId="2" priority="304">
      <formula>IF($A28&lt;=$B$11,1,0)</formula>
    </cfRule>
  </conditionalFormatting>
  <conditionalFormatting sqref="I28:J147 B28:B147">
    <cfRule type="expression" dxfId="1" priority="305">
      <formula>IF(AND($A28&lt;=$B$17,B28&gt;=0,B28&lt;&gt;""),1,0)</formula>
    </cfRule>
  </conditionalFormatting>
  <conditionalFormatting sqref="I28:J147 B28:B147">
    <cfRule type="expression" dxfId="0" priority="307">
      <formula>IF($A28&lt;=$B$17,1,0)</formula>
    </cfRule>
  </conditionalFormatting>
  <dataValidations xWindow="380" yWindow="347" count="19">
    <dataValidation type="list" allowBlank="1" showInputMessage="1" showErrorMessage="1" sqref="D1">
      <formula1>"Sim, Não"</formula1>
    </dataValidation>
    <dataValidation type="whole" allowBlank="1" showInputMessage="1" showErrorMessage="1" sqref="B11">
      <formula1>2</formula1>
      <formula2>120</formula2>
    </dataValidation>
    <dataValidation type="decimal" allowBlank="1" showInputMessage="1" showErrorMessage="1" sqref="B148:B162">
      <formula1>0</formula1>
      <formula2>1</formula2>
    </dataValidation>
    <dataValidation type="list" showInputMessage="1" showErrorMessage="1" sqref="B8">
      <formula1>"Não Padrão, Padrão"</formula1>
    </dataValidation>
    <dataValidation type="list" allowBlank="1" showInputMessage="1" showErrorMessage="1" sqref="B7">
      <formula1>"PM, PU, PP"</formula1>
    </dataValidation>
    <dataValidation type="textLength" operator="equal" allowBlank="1" showInputMessage="1" showErrorMessage="1" prompt="A entrada é numérica com 12 algarismos._x000a_15414._ _ _ _ _ _/ _ _ _ _ - _ _" sqref="B5">
      <formula1>12</formula1>
    </dataValidation>
    <dataValidation type="custom" allowBlank="1" showInputMessage="1" showErrorMessage="1" sqref="N28:N147">
      <formula1>IF(AND($A28&lt;=$A$28,$N28&gt;=0),1,0)</formula1>
    </dataValidation>
    <dataValidation type="whole" allowBlank="1" showInputMessage="1" showErrorMessage="1" sqref="B12">
      <formula1>1000</formula1>
      <formula2>1000000000</formula2>
    </dataValidation>
    <dataValidation type="decimal" allowBlank="1" showInputMessage="1" showErrorMessage="1" sqref="B13">
      <formula1>0.0016</formula1>
      <formula2>0.05</formula2>
    </dataValidation>
    <dataValidation type="decimal" allowBlank="1" showInputMessage="1" showErrorMessage="1" sqref="B14">
      <formula1>0</formula1>
      <formula2>0.05</formula2>
    </dataValidation>
    <dataValidation type="decimal" allowBlank="1" showInputMessage="1" showErrorMessage="1" sqref="B15:B16">
      <formula1>0.01</formula1>
      <formula2>1000000</formula2>
    </dataValidation>
    <dataValidation type="custom" allowBlank="1" showInputMessage="1" showErrorMessage="1" sqref="B18">
      <formula1>IF(AND(B18&gt;=0,B18&lt;=$B$11),1,0)</formula1>
    </dataValidation>
    <dataValidation type="list" allowBlank="1" showInputMessage="1" showErrorMessage="1" sqref="B6">
      <formula1>"Tradicional, Popular, Incentivo, Instrumento de Garantia, Compra Programada, Filantropia Premiável"</formula1>
    </dataValidation>
    <dataValidation type="custom" allowBlank="1" showInputMessage="1" showErrorMessage="1" sqref="B17">
      <formula1>IF(AND(B7="PU",B17=1),1,IF(AND(B7="PM",B17=B11),1,IF(AND(B7="PP",B17&gt;1,B17&lt;=B11),1,0)))</formula1>
    </dataValidation>
    <dataValidation type="time" allowBlank="1" showInputMessage="1" showErrorMessage="1" sqref="B21">
      <formula1>0</formula1>
      <formula2>0.999988425925926</formula2>
    </dataValidation>
    <dataValidation type="date" allowBlank="1" showInputMessage="1" showErrorMessage="1" sqref="B22">
      <formula1>43101</formula1>
      <formula2>73050</formula2>
    </dataValidation>
    <dataValidation type="custom" allowBlank="1" showInputMessage="1" showErrorMessage="1" sqref="I28:J147 B28:B147">
      <formula1>IF(AND($A28&lt;=$B$17,B28&gt;=0,B28&lt;=100%),1,0)</formula1>
    </dataValidation>
    <dataValidation type="custom" allowBlank="1" showInputMessage="1" showErrorMessage="1" sqref="C28:C147">
      <formula1>IF(AND($A28&lt;=$B$11,C28&gt;=90%,C28&lt;=100%),1,0)</formula1>
    </dataValidation>
    <dataValidation type="custom" allowBlank="1" showInputMessage="1" showErrorMessage="1" sqref="O28:R147">
      <formula1>IF(AND($A28&lt;=$B$11,O28&gt;=0),1,0)</formula1>
    </dataValidation>
  </dataValidations>
  <pageMargins left="0.51181102362204722" right="0.51181102362204722" top="0.78740157480314965" bottom="0.78740157480314965" header="0.31496062992125984" footer="0.31496062992125984"/>
  <pageSetup paperSize="9" scale="46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380" yWindow="347" count="1">
        <x14:dataValidation type="list" allowBlank="1" showInputMessage="1" showErrorMessage="1">
          <x14:formula1>
            <xm:f>'Patrimônio Líquido'!$A$3:$A$20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D20"/>
  <sheetViews>
    <sheetView workbookViewId="0">
      <selection sqref="A1:XFD1048576"/>
    </sheetView>
  </sheetViews>
  <sheetFormatPr defaultRowHeight="14.4" x14ac:dyDescent="0.3"/>
  <cols>
    <col min="1" max="1" width="41.5546875" bestFit="1" customWidth="1"/>
    <col min="2" max="2" width="18.6640625" customWidth="1"/>
    <col min="3" max="3" width="18.44140625" customWidth="1"/>
    <col min="4" max="4" width="12.33203125" customWidth="1"/>
  </cols>
  <sheetData>
    <row r="1" spans="1:4" ht="15" thickBot="1" x14ac:dyDescent="0.35">
      <c r="A1" s="93" t="s">
        <v>137</v>
      </c>
      <c r="B1" s="94"/>
      <c r="C1" s="95"/>
    </row>
    <row r="2" spans="1:4" ht="15" thickBot="1" x14ac:dyDescent="0.35">
      <c r="A2" s="2" t="s">
        <v>4</v>
      </c>
      <c r="B2" s="2" t="s">
        <v>5</v>
      </c>
      <c r="C2" s="3" t="s">
        <v>6</v>
      </c>
      <c r="D2" s="3" t="s">
        <v>46</v>
      </c>
    </row>
    <row r="3" spans="1:4" ht="15" thickBot="1" x14ac:dyDescent="0.35">
      <c r="A3" s="8" t="s">
        <v>29</v>
      </c>
      <c r="B3" s="9">
        <v>12138421.810000001</v>
      </c>
      <c r="C3" s="9">
        <f t="shared" ref="C3:C20" si="0" xml:space="preserve"> B3*0.1</f>
        <v>1213842.1810000001</v>
      </c>
      <c r="D3" s="8" t="s">
        <v>43</v>
      </c>
    </row>
    <row r="4" spans="1:4" ht="15" thickBot="1" x14ac:dyDescent="0.35">
      <c r="A4" s="8" t="s">
        <v>22</v>
      </c>
      <c r="B4" s="9">
        <v>21110384.699999999</v>
      </c>
      <c r="C4" s="9">
        <f t="shared" si="0"/>
        <v>2111038.4700000002</v>
      </c>
      <c r="D4" s="8" t="s">
        <v>37</v>
      </c>
    </row>
    <row r="5" spans="1:4" ht="15" thickBot="1" x14ac:dyDescent="0.35">
      <c r="A5" s="8" t="s">
        <v>23</v>
      </c>
      <c r="B5" s="9">
        <v>626484179.35000002</v>
      </c>
      <c r="C5" s="9">
        <f t="shared" si="0"/>
        <v>62648417.935000002</v>
      </c>
      <c r="D5" s="8" t="s">
        <v>38</v>
      </c>
    </row>
    <row r="6" spans="1:4" ht="15" thickBot="1" x14ac:dyDescent="0.35">
      <c r="A6" s="8" t="s">
        <v>17</v>
      </c>
      <c r="B6" s="9">
        <v>364806384.74000001</v>
      </c>
      <c r="C6" s="9">
        <f t="shared" si="0"/>
        <v>36480638.473999999</v>
      </c>
      <c r="D6" s="8" t="s">
        <v>32</v>
      </c>
    </row>
    <row r="7" spans="1:4" ht="15" thickBot="1" x14ac:dyDescent="0.35">
      <c r="A7" s="8" t="s">
        <v>24</v>
      </c>
      <c r="B7" s="9">
        <v>232184349.65000001</v>
      </c>
      <c r="C7" s="9">
        <f t="shared" si="0"/>
        <v>23218434.965000004</v>
      </c>
      <c r="D7" s="8" t="s">
        <v>39</v>
      </c>
    </row>
    <row r="8" spans="1:4" ht="15" thickBot="1" x14ac:dyDescent="0.35">
      <c r="A8" s="8" t="s">
        <v>19</v>
      </c>
      <c r="B8" s="9">
        <v>16258859.43</v>
      </c>
      <c r="C8" s="9">
        <f t="shared" si="0"/>
        <v>1625885.943</v>
      </c>
      <c r="D8" s="8" t="s">
        <v>35</v>
      </c>
    </row>
    <row r="9" spans="1:4" ht="15" thickBot="1" x14ac:dyDescent="0.35">
      <c r="A9" s="8" t="s">
        <v>20</v>
      </c>
      <c r="B9" s="9">
        <v>32840661.93</v>
      </c>
      <c r="C9" s="9">
        <f t="shared" si="0"/>
        <v>3284066.193</v>
      </c>
      <c r="D9" s="8" t="s">
        <v>36</v>
      </c>
    </row>
    <row r="10" spans="1:4" ht="15" thickBot="1" x14ac:dyDescent="0.35">
      <c r="A10" s="8" t="s">
        <v>31</v>
      </c>
      <c r="B10" s="9">
        <v>1225725444.79</v>
      </c>
      <c r="C10" s="9">
        <f t="shared" si="0"/>
        <v>122572544.479</v>
      </c>
      <c r="D10" s="8" t="s">
        <v>45</v>
      </c>
    </row>
    <row r="11" spans="1:4" ht="15" thickBot="1" x14ac:dyDescent="0.35">
      <c r="A11" s="8" t="s">
        <v>18</v>
      </c>
      <c r="B11" s="9">
        <v>192536403.02000001</v>
      </c>
      <c r="C11" s="9">
        <f t="shared" si="0"/>
        <v>19253640.302000001</v>
      </c>
      <c r="D11" s="8" t="s">
        <v>34</v>
      </c>
    </row>
    <row r="12" spans="1:4" ht="15" thickBot="1" x14ac:dyDescent="0.35">
      <c r="A12" s="10" t="s">
        <v>62</v>
      </c>
      <c r="B12" s="9">
        <v>29231810.949999999</v>
      </c>
      <c r="C12" s="9">
        <f t="shared" si="0"/>
        <v>2923181.0950000002</v>
      </c>
      <c r="D12" s="8" t="s">
        <v>33</v>
      </c>
    </row>
    <row r="13" spans="1:4" ht="15" thickBot="1" x14ac:dyDescent="0.35">
      <c r="A13" s="8" t="s">
        <v>65</v>
      </c>
      <c r="B13" s="9">
        <v>0</v>
      </c>
      <c r="C13" s="9">
        <f t="shared" si="0"/>
        <v>0</v>
      </c>
      <c r="D13" s="8" t="s">
        <v>61</v>
      </c>
    </row>
    <row r="14" spans="1:4" ht="15" thickBot="1" x14ac:dyDescent="0.35">
      <c r="A14" s="8" t="s">
        <v>25</v>
      </c>
      <c r="B14" s="9">
        <v>308903067.99000001</v>
      </c>
      <c r="C14" s="9">
        <f t="shared" si="0"/>
        <v>30890306.799000002</v>
      </c>
      <c r="D14" s="8" t="s">
        <v>40</v>
      </c>
    </row>
    <row r="15" spans="1:4" ht="15" thickBot="1" x14ac:dyDescent="0.35">
      <c r="A15" s="8" t="s">
        <v>26</v>
      </c>
      <c r="B15" s="9">
        <v>22305901.129999999</v>
      </c>
      <c r="C15" s="9">
        <f t="shared" si="0"/>
        <v>2230590.1129999999</v>
      </c>
      <c r="D15" s="8" t="s">
        <v>16</v>
      </c>
    </row>
    <row r="16" spans="1:4" ht="15" thickBot="1" x14ac:dyDescent="0.35">
      <c r="A16" s="8" t="s">
        <v>27</v>
      </c>
      <c r="B16" s="9">
        <v>25119871.41</v>
      </c>
      <c r="C16" s="9">
        <f t="shared" si="0"/>
        <v>2511987.1410000003</v>
      </c>
      <c r="D16" s="8" t="s">
        <v>41</v>
      </c>
    </row>
    <row r="17" spans="1:4" ht="15" thickBot="1" x14ac:dyDescent="0.35">
      <c r="A17" s="8" t="s">
        <v>64</v>
      </c>
      <c r="B17" s="9">
        <v>10947588.800000001</v>
      </c>
      <c r="C17" s="11">
        <f t="shared" si="0"/>
        <v>1094758.8800000001</v>
      </c>
      <c r="D17" s="8" t="s">
        <v>63</v>
      </c>
    </row>
    <row r="18" spans="1:4" ht="15" thickBot="1" x14ac:dyDescent="0.35">
      <c r="A18" s="8" t="s">
        <v>30</v>
      </c>
      <c r="B18" s="9">
        <v>241998986.80000001</v>
      </c>
      <c r="C18" s="11">
        <f t="shared" si="0"/>
        <v>24199898.680000003</v>
      </c>
      <c r="D18" s="8" t="s">
        <v>44</v>
      </c>
    </row>
    <row r="19" spans="1:4" ht="15" thickBot="1" x14ac:dyDescent="0.35">
      <c r="A19" s="8" t="s">
        <v>28</v>
      </c>
      <c r="B19" s="9">
        <v>282469638.92000002</v>
      </c>
      <c r="C19" s="9">
        <f t="shared" si="0"/>
        <v>28246963.892000005</v>
      </c>
      <c r="D19" s="8" t="s">
        <v>42</v>
      </c>
    </row>
    <row r="20" spans="1:4" ht="15" thickBot="1" x14ac:dyDescent="0.35">
      <c r="A20" s="8" t="s">
        <v>21</v>
      </c>
      <c r="B20" s="11">
        <v>24813197.920000002</v>
      </c>
      <c r="C20" s="11">
        <f t="shared" si="0"/>
        <v>2481319.7920000004</v>
      </c>
      <c r="D20" s="8" t="s">
        <v>15</v>
      </c>
    </row>
  </sheetData>
  <sheetProtection algorithmName="SHA-512" hashValue="lwBCSUx/Hd1LSRGgxOUCgm+wNEhqU8eSwvfYfvkC7IIG325y1t43cbA/rTh+MAROLCpsCkXS2ZgyQd5x36zTIw==" saltValue="/4z+6un7+17+udkPBYPNiA==" spinCount="100000" sheet="1" objects="1" scenarios="1"/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Dados</vt:lpstr>
      <vt:lpstr>Patrimônio Líquido</vt:lpstr>
      <vt:lpstr>Dados!Area_de_impressao</vt:lpstr>
    </vt:vector>
  </TitlesOfParts>
  <Company>SUSEP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da Cruz Nassif</dc:creator>
  <cp:lastModifiedBy>Leonardo da Cruz Nassif</cp:lastModifiedBy>
  <cp:lastPrinted>2015-11-05T18:27:35Z</cp:lastPrinted>
  <dcterms:created xsi:type="dcterms:W3CDTF">2015-10-22T17:36:08Z</dcterms:created>
  <dcterms:modified xsi:type="dcterms:W3CDTF">2018-12-10T12:38:35Z</dcterms:modified>
</cp:coreProperties>
</file>