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d.docs.live.net/83572b01d70ec9f1/Área de Trabalho/"/>
    </mc:Choice>
  </mc:AlternateContent>
  <xr:revisionPtr revIDLastSave="1" documentId="8_{090BBBBF-7ED4-43AF-96AE-13023805B81F}" xr6:coauthVersionLast="45" xr6:coauthVersionMax="45" xr10:uidLastSave="{BF0DAD37-95D3-4FF0-8644-A62F9118FCD3}"/>
  <workbookProtection workbookPassword="9E32" lockStructure="1"/>
  <bookViews>
    <workbookView xWindow="-110" yWindow="-110" windowWidth="19420" windowHeight="10420" xr2:uid="{00000000-000D-0000-FFFF-FFFF00000000}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A26" i="1"/>
  <c r="A20" i="1"/>
  <c r="W30" i="1" l="1"/>
  <c r="X30" i="1" s="1"/>
  <c r="X27" i="1"/>
  <c r="B26" i="1" s="1"/>
  <c r="H16" i="1" s="1"/>
  <c r="I16" i="1" s="1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B44" i="1"/>
  <c r="AB43" i="1"/>
  <c r="Z43" i="1"/>
  <c r="AB106" i="1"/>
  <c r="AB110" i="1"/>
  <c r="AB112" i="1"/>
  <c r="AA112" i="1" s="1"/>
  <c r="AB111" i="1"/>
  <c r="AA111" i="1" s="1"/>
  <c r="AA110" i="1"/>
  <c r="AB38" i="1"/>
  <c r="AB89" i="1"/>
  <c r="AB90" i="1" a="1"/>
  <c r="AB90" i="1" s="1"/>
  <c r="AA90" i="1" s="1"/>
  <c r="AE83" i="1"/>
  <c r="AB105" i="1"/>
  <c r="AA105" i="1" s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B87" i="1"/>
  <c r="AA87" i="1" s="1"/>
  <c r="AB88" i="1"/>
  <c r="AA88" i="1" s="1"/>
  <c r="AA89" i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D73" i="1" a="1"/>
  <c r="AD73" i="1" s="1"/>
  <c r="AB58" i="1" a="1"/>
  <c r="AB58" i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W32" i="1"/>
  <c r="W33" i="1"/>
  <c r="W34" i="1"/>
  <c r="W35" i="1"/>
  <c r="W36" i="1"/>
  <c r="X36" i="1" s="1"/>
  <c r="W37" i="1"/>
  <c r="W38" i="1"/>
  <c r="W39" i="1"/>
  <c r="W40" i="1"/>
  <c r="X40" i="1" s="1"/>
  <c r="W41" i="1"/>
  <c r="W42" i="1"/>
  <c r="W43" i="1"/>
  <c r="W44" i="1"/>
  <c r="X44" i="1" s="1"/>
  <c r="W45" i="1"/>
  <c r="W46" i="1"/>
  <c r="W47" i="1"/>
  <c r="W48" i="1"/>
  <c r="W49" i="1"/>
  <c r="W50" i="1"/>
  <c r="W51" i="1"/>
  <c r="W52" i="1"/>
  <c r="W53" i="1"/>
  <c r="W54" i="1"/>
  <c r="W55" i="1"/>
  <c r="W56" i="1"/>
  <c r="X56" i="1" s="1"/>
  <c r="W57" i="1"/>
  <c r="W58" i="1"/>
  <c r="W59" i="1"/>
  <c r="W60" i="1"/>
  <c r="X60" i="1" s="1"/>
  <c r="W61" i="1"/>
  <c r="W62" i="1"/>
  <c r="W63" i="1"/>
  <c r="W64" i="1"/>
  <c r="X64" i="1" s="1"/>
  <c r="W65" i="1"/>
  <c r="W66" i="1"/>
  <c r="W67" i="1"/>
  <c r="W68" i="1"/>
  <c r="X68" i="1" s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X88" i="1" s="1"/>
  <c r="W89" i="1"/>
  <c r="W90" i="1"/>
  <c r="W91" i="1"/>
  <c r="W92" i="1"/>
  <c r="X92" i="1" s="1"/>
  <c r="W93" i="1"/>
  <c r="W94" i="1"/>
  <c r="W95" i="1"/>
  <c r="W96" i="1"/>
  <c r="W97" i="1"/>
  <c r="W98" i="1"/>
  <c r="W99" i="1"/>
  <c r="W100" i="1"/>
  <c r="W101" i="1"/>
  <c r="W102" i="1"/>
  <c r="W103" i="1"/>
  <c r="W104" i="1"/>
  <c r="X104" i="1" s="1"/>
  <c r="W105" i="1"/>
  <c r="W106" i="1"/>
  <c r="W107" i="1"/>
  <c r="W108" i="1"/>
  <c r="W109" i="1"/>
  <c r="W110" i="1"/>
  <c r="W111" i="1"/>
  <c r="W112" i="1"/>
  <c r="X112" i="1" s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X126" i="1"/>
  <c r="W127" i="1"/>
  <c r="X127" i="1" s="1"/>
  <c r="W128" i="1"/>
  <c r="X128" i="1"/>
  <c r="W129" i="1"/>
  <c r="X129" i="1" s="1"/>
  <c r="W130" i="1"/>
  <c r="X130" i="1"/>
  <c r="W131" i="1"/>
  <c r="X131" i="1" s="1"/>
  <c r="W132" i="1"/>
  <c r="X132" i="1"/>
  <c r="W133" i="1"/>
  <c r="X133" i="1" s="1"/>
  <c r="W134" i="1"/>
  <c r="X134" i="1"/>
  <c r="W135" i="1"/>
  <c r="X135" i="1" s="1"/>
  <c r="W136" i="1"/>
  <c r="X136" i="1"/>
  <c r="W137" i="1"/>
  <c r="X137" i="1" s="1"/>
  <c r="W138" i="1"/>
  <c r="X138" i="1"/>
  <c r="W139" i="1"/>
  <c r="X139" i="1" s="1"/>
  <c r="W140" i="1"/>
  <c r="X140" i="1"/>
  <c r="W141" i="1"/>
  <c r="X141" i="1" s="1"/>
  <c r="W142" i="1"/>
  <c r="X142" i="1"/>
  <c r="W143" i="1"/>
  <c r="X143" i="1" s="1"/>
  <c r="W144" i="1"/>
  <c r="X144" i="1"/>
  <c r="W145" i="1"/>
  <c r="X145" i="1" s="1"/>
  <c r="W146" i="1"/>
  <c r="X146" i="1"/>
  <c r="W147" i="1"/>
  <c r="X147" i="1" s="1"/>
  <c r="W148" i="1"/>
  <c r="X148" i="1"/>
  <c r="W149" i="1"/>
  <c r="X149" i="1" s="1"/>
  <c r="K125" i="1"/>
  <c r="T125" i="1"/>
  <c r="U125" i="1"/>
  <c r="X125" i="1"/>
  <c r="K126" i="1"/>
  <c r="T126" i="1"/>
  <c r="U126" i="1"/>
  <c r="K127" i="1"/>
  <c r="T127" i="1"/>
  <c r="U127" i="1"/>
  <c r="K128" i="1"/>
  <c r="T128" i="1"/>
  <c r="U128" i="1" s="1"/>
  <c r="K129" i="1"/>
  <c r="T129" i="1"/>
  <c r="U129" i="1" s="1"/>
  <c r="K130" i="1"/>
  <c r="T130" i="1"/>
  <c r="U130" i="1"/>
  <c r="K131" i="1"/>
  <c r="T131" i="1"/>
  <c r="U131" i="1"/>
  <c r="K132" i="1"/>
  <c r="T132" i="1"/>
  <c r="U132" i="1" s="1"/>
  <c r="K133" i="1"/>
  <c r="T133" i="1"/>
  <c r="U133" i="1" s="1"/>
  <c r="K134" i="1"/>
  <c r="T134" i="1"/>
  <c r="U134" i="1"/>
  <c r="K135" i="1"/>
  <c r="T135" i="1"/>
  <c r="U135" i="1"/>
  <c r="K136" i="1"/>
  <c r="T136" i="1"/>
  <c r="U136" i="1" s="1"/>
  <c r="K137" i="1"/>
  <c r="T137" i="1"/>
  <c r="U137" i="1" s="1"/>
  <c r="K138" i="1"/>
  <c r="T138" i="1"/>
  <c r="U138" i="1"/>
  <c r="K139" i="1"/>
  <c r="T139" i="1"/>
  <c r="U139" i="1"/>
  <c r="K140" i="1"/>
  <c r="T140" i="1"/>
  <c r="U140" i="1" s="1"/>
  <c r="K141" i="1"/>
  <c r="T141" i="1"/>
  <c r="U141" i="1" s="1"/>
  <c r="K142" i="1"/>
  <c r="T142" i="1"/>
  <c r="U142" i="1"/>
  <c r="K143" i="1"/>
  <c r="T143" i="1"/>
  <c r="U143" i="1"/>
  <c r="K144" i="1"/>
  <c r="T144" i="1"/>
  <c r="U144" i="1" s="1"/>
  <c r="K145" i="1"/>
  <c r="T145" i="1"/>
  <c r="U145" i="1" s="1"/>
  <c r="K146" i="1"/>
  <c r="T146" i="1"/>
  <c r="U146" i="1"/>
  <c r="K147" i="1"/>
  <c r="T147" i="1"/>
  <c r="U147" i="1"/>
  <c r="K148" i="1"/>
  <c r="T148" i="1"/>
  <c r="U148" i="1" s="1"/>
  <c r="K149" i="1"/>
  <c r="T149" i="1"/>
  <c r="U149" i="1" s="1"/>
  <c r="AB37" i="1"/>
  <c r="AB31" i="1"/>
  <c r="AA38" i="1" s="1"/>
  <c r="Z38" i="1" s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/>
  <c r="T108" i="1"/>
  <c r="U108" i="1" s="1"/>
  <c r="T109" i="1"/>
  <c r="U109" i="1"/>
  <c r="T110" i="1"/>
  <c r="U110" i="1" s="1"/>
  <c r="T111" i="1"/>
  <c r="U111" i="1"/>
  <c r="T112" i="1"/>
  <c r="U112" i="1" s="1"/>
  <c r="T113" i="1"/>
  <c r="U113" i="1"/>
  <c r="T114" i="1"/>
  <c r="U114" i="1" s="1"/>
  <c r="T115" i="1"/>
  <c r="U115" i="1"/>
  <c r="T116" i="1"/>
  <c r="U116" i="1" s="1"/>
  <c r="T117" i="1"/>
  <c r="U117" i="1"/>
  <c r="T118" i="1"/>
  <c r="U118" i="1" s="1"/>
  <c r="T119" i="1"/>
  <c r="U119" i="1"/>
  <c r="T120" i="1"/>
  <c r="U120" i="1" s="1"/>
  <c r="T121" i="1"/>
  <c r="U121" i="1"/>
  <c r="T122" i="1"/>
  <c r="U122" i="1" s="1"/>
  <c r="T123" i="1"/>
  <c r="U123" i="1"/>
  <c r="T124" i="1"/>
  <c r="U124" i="1" s="1"/>
  <c r="K54" i="1"/>
  <c r="T54" i="1"/>
  <c r="U54" i="1" s="1"/>
  <c r="K55" i="1"/>
  <c r="T55" i="1"/>
  <c r="U55" i="1"/>
  <c r="K56" i="1"/>
  <c r="T56" i="1"/>
  <c r="U56" i="1"/>
  <c r="K57" i="1"/>
  <c r="T57" i="1"/>
  <c r="U57" i="1" s="1"/>
  <c r="K58" i="1"/>
  <c r="T58" i="1"/>
  <c r="U58" i="1" s="1"/>
  <c r="K59" i="1"/>
  <c r="T59" i="1"/>
  <c r="U59" i="1"/>
  <c r="K60" i="1"/>
  <c r="T60" i="1"/>
  <c r="U60" i="1"/>
  <c r="K61" i="1"/>
  <c r="T61" i="1"/>
  <c r="U61" i="1" s="1"/>
  <c r="K62" i="1"/>
  <c r="T62" i="1"/>
  <c r="U62" i="1" s="1"/>
  <c r="K63" i="1"/>
  <c r="T63" i="1"/>
  <c r="U63" i="1"/>
  <c r="K64" i="1"/>
  <c r="T64" i="1"/>
  <c r="U64" i="1"/>
  <c r="K65" i="1"/>
  <c r="T65" i="1"/>
  <c r="U65" i="1" s="1"/>
  <c r="K66" i="1"/>
  <c r="T66" i="1"/>
  <c r="U66" i="1" s="1"/>
  <c r="K67" i="1"/>
  <c r="T67" i="1"/>
  <c r="U67" i="1"/>
  <c r="K68" i="1"/>
  <c r="T68" i="1"/>
  <c r="U68" i="1"/>
  <c r="K69" i="1"/>
  <c r="T69" i="1"/>
  <c r="U69" i="1" s="1"/>
  <c r="K70" i="1"/>
  <c r="T70" i="1"/>
  <c r="U70" i="1" s="1"/>
  <c r="K71" i="1"/>
  <c r="T71" i="1"/>
  <c r="U71" i="1"/>
  <c r="K72" i="1"/>
  <c r="T72" i="1"/>
  <c r="U72" i="1"/>
  <c r="K73" i="1"/>
  <c r="T73" i="1"/>
  <c r="U73" i="1" s="1"/>
  <c r="K74" i="1"/>
  <c r="T74" i="1"/>
  <c r="U74" i="1" s="1"/>
  <c r="K75" i="1"/>
  <c r="T75" i="1"/>
  <c r="U75" i="1"/>
  <c r="K76" i="1"/>
  <c r="T76" i="1"/>
  <c r="U76" i="1"/>
  <c r="K77" i="1"/>
  <c r="T77" i="1"/>
  <c r="U77" i="1" s="1"/>
  <c r="K78" i="1"/>
  <c r="T78" i="1"/>
  <c r="U78" i="1" s="1"/>
  <c r="K79" i="1"/>
  <c r="T79" i="1"/>
  <c r="U79" i="1"/>
  <c r="K80" i="1"/>
  <c r="T80" i="1"/>
  <c r="U80" i="1"/>
  <c r="K81" i="1"/>
  <c r="T81" i="1"/>
  <c r="U81" i="1" s="1"/>
  <c r="K82" i="1"/>
  <c r="T82" i="1"/>
  <c r="U82" i="1" s="1"/>
  <c r="K83" i="1"/>
  <c r="T83" i="1"/>
  <c r="U83" i="1"/>
  <c r="K84" i="1"/>
  <c r="T84" i="1"/>
  <c r="U84" i="1"/>
  <c r="K85" i="1"/>
  <c r="T85" i="1"/>
  <c r="U85" i="1" s="1"/>
  <c r="K86" i="1"/>
  <c r="T86" i="1"/>
  <c r="U86" i="1" s="1"/>
  <c r="K87" i="1"/>
  <c r="T87" i="1"/>
  <c r="U87" i="1"/>
  <c r="K88" i="1"/>
  <c r="T88" i="1"/>
  <c r="U88" i="1"/>
  <c r="K89" i="1"/>
  <c r="T89" i="1"/>
  <c r="U89" i="1" s="1"/>
  <c r="K90" i="1"/>
  <c r="T90" i="1"/>
  <c r="U90" i="1" s="1"/>
  <c r="K91" i="1"/>
  <c r="T91" i="1"/>
  <c r="U91" i="1"/>
  <c r="K92" i="1"/>
  <c r="T92" i="1"/>
  <c r="U92" i="1"/>
  <c r="K93" i="1"/>
  <c r="T93" i="1"/>
  <c r="U93" i="1" s="1"/>
  <c r="K94" i="1"/>
  <c r="T94" i="1"/>
  <c r="U94" i="1" s="1"/>
  <c r="K95" i="1"/>
  <c r="T95" i="1"/>
  <c r="U95" i="1"/>
  <c r="K96" i="1"/>
  <c r="T96" i="1"/>
  <c r="U96" i="1"/>
  <c r="K97" i="1"/>
  <c r="T97" i="1"/>
  <c r="U97" i="1" s="1"/>
  <c r="K98" i="1"/>
  <c r="T98" i="1"/>
  <c r="U98" i="1" s="1"/>
  <c r="K99" i="1"/>
  <c r="T99" i="1"/>
  <c r="U99" i="1"/>
  <c r="K100" i="1"/>
  <c r="T100" i="1"/>
  <c r="U100" i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/>
  <c r="K105" i="1"/>
  <c r="T105" i="1"/>
  <c r="U105" i="1" s="1"/>
  <c r="K106" i="1"/>
  <c r="T106" i="1"/>
  <c r="U106" i="1" s="1"/>
  <c r="X54" i="1"/>
  <c r="X55" i="1"/>
  <c r="AB59" i="1" a="1"/>
  <c r="AB59" i="1" s="1"/>
  <c r="Z37" i="1"/>
  <c r="X57" i="1"/>
  <c r="X59" i="1"/>
  <c r="X58" i="1"/>
  <c r="X61" i="1"/>
  <c r="X62" i="1"/>
  <c r="X63" i="1"/>
  <c r="X6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X67" i="1"/>
  <c r="X66" i="1"/>
  <c r="X69" i="1"/>
  <c r="X70" i="1"/>
  <c r="X71" i="1"/>
  <c r="X72" i="1"/>
  <c r="X73" i="1"/>
  <c r="X75" i="1"/>
  <c r="X74" i="1"/>
  <c r="T31" i="1"/>
  <c r="U31" i="1" s="1"/>
  <c r="T32" i="1"/>
  <c r="U32" i="1"/>
  <c r="T33" i="1"/>
  <c r="U33" i="1" s="1"/>
  <c r="T34" i="1"/>
  <c r="U34" i="1"/>
  <c r="T35" i="1"/>
  <c r="U35" i="1" s="1"/>
  <c r="T36" i="1"/>
  <c r="U36" i="1"/>
  <c r="T37" i="1"/>
  <c r="U37" i="1" s="1"/>
  <c r="T38" i="1"/>
  <c r="U38" i="1"/>
  <c r="T39" i="1"/>
  <c r="U39" i="1" s="1"/>
  <c r="T40" i="1"/>
  <c r="U40" i="1"/>
  <c r="T41" i="1"/>
  <c r="U41" i="1" s="1"/>
  <c r="T42" i="1"/>
  <c r="U42" i="1"/>
  <c r="T43" i="1"/>
  <c r="U43" i="1" s="1"/>
  <c r="T44" i="1"/>
  <c r="U44" i="1"/>
  <c r="T45" i="1"/>
  <c r="U45" i="1" s="1"/>
  <c r="T46" i="1"/>
  <c r="U46" i="1"/>
  <c r="T47" i="1"/>
  <c r="U47" i="1" s="1"/>
  <c r="T48" i="1"/>
  <c r="U48" i="1"/>
  <c r="T49" i="1"/>
  <c r="U49" i="1" s="1"/>
  <c r="T50" i="1"/>
  <c r="U50" i="1"/>
  <c r="T51" i="1"/>
  <c r="U51" i="1" s="1"/>
  <c r="T52" i="1"/>
  <c r="U52" i="1"/>
  <c r="T53" i="1"/>
  <c r="U53" i="1" s="1"/>
  <c r="T30" i="1"/>
  <c r="K41" i="1"/>
  <c r="X76" i="1"/>
  <c r="X77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79" i="1"/>
  <c r="X78" i="1"/>
  <c r="X51" i="1"/>
  <c r="X48" i="1"/>
  <c r="X43" i="1"/>
  <c r="X53" i="1"/>
  <c r="X42" i="1"/>
  <c r="X49" i="1"/>
  <c r="X50" i="1"/>
  <c r="X45" i="1"/>
  <c r="X52" i="1"/>
  <c r="X47" i="1"/>
  <c r="X46" i="1"/>
  <c r="X81" i="1"/>
  <c r="X80" i="1"/>
  <c r="X82" i="1"/>
  <c r="X83" i="1"/>
  <c r="X85" i="1"/>
  <c r="K30" i="1"/>
  <c r="AB107" i="1" a="1"/>
  <c r="AB107" i="1" s="1"/>
  <c r="AA107" i="1" s="1"/>
  <c r="X84" i="1"/>
  <c r="X87" i="1"/>
  <c r="X86" i="1"/>
  <c r="X89" i="1"/>
  <c r="X32" i="1"/>
  <c r="X38" i="1"/>
  <c r="X35" i="1"/>
  <c r="X34" i="1"/>
  <c r="X39" i="1"/>
  <c r="X31" i="1"/>
  <c r="X41" i="1"/>
  <c r="X37" i="1"/>
  <c r="X33" i="1"/>
  <c r="X91" i="1"/>
  <c r="X90" i="1"/>
  <c r="X93" i="1"/>
  <c r="A30" i="1"/>
  <c r="AB50" i="1" s="1" a="1"/>
  <c r="AB50" i="1" s="1"/>
  <c r="AB48" i="1" a="1"/>
  <c r="AB48" i="1" s="1"/>
  <c r="E30" i="1"/>
  <c r="F30" i="1"/>
  <c r="X95" i="1"/>
  <c r="X94" i="1"/>
  <c r="Z42" i="1"/>
  <c r="D31" i="1"/>
  <c r="E31" i="1"/>
  <c r="F31" i="1"/>
  <c r="X96" i="1"/>
  <c r="X97" i="1"/>
  <c r="U27" i="1"/>
  <c r="AE75" i="1" s="1"/>
  <c r="D32" i="1"/>
  <c r="E32" i="1"/>
  <c r="F32" i="1"/>
  <c r="X99" i="1"/>
  <c r="X98" i="1"/>
  <c r="D33" i="1"/>
  <c r="E33" i="1"/>
  <c r="F33" i="1"/>
  <c r="X101" i="1"/>
  <c r="X100" i="1"/>
  <c r="D34" i="1"/>
  <c r="E34" i="1"/>
  <c r="F34" i="1"/>
  <c r="X103" i="1"/>
  <c r="X102" i="1"/>
  <c r="D35" i="1"/>
  <c r="E35" i="1"/>
  <c r="F35" i="1"/>
  <c r="X105" i="1"/>
  <c r="D36" i="1"/>
  <c r="E36" i="1"/>
  <c r="F36" i="1"/>
  <c r="X106" i="1"/>
  <c r="X107" i="1"/>
  <c r="D37" i="1"/>
  <c r="E37" i="1"/>
  <c r="F37" i="1"/>
  <c r="X108" i="1"/>
  <c r="X109" i="1"/>
  <c r="D38" i="1"/>
  <c r="E38" i="1"/>
  <c r="F38" i="1"/>
  <c r="X111" i="1"/>
  <c r="X110" i="1"/>
  <c r="D39" i="1"/>
  <c r="E39" i="1"/>
  <c r="F39" i="1"/>
  <c r="D40" i="1"/>
  <c r="E40" i="1"/>
  <c r="F40" i="1"/>
  <c r="X113" i="1"/>
  <c r="W27" i="1"/>
  <c r="X115" i="1"/>
  <c r="X114" i="1"/>
  <c r="AE76" i="1"/>
  <c r="D41" i="1"/>
  <c r="E41" i="1"/>
  <c r="F41" i="1"/>
  <c r="X117" i="1"/>
  <c r="X116" i="1"/>
  <c r="D42" i="1"/>
  <c r="E42" i="1"/>
  <c r="F42" i="1"/>
  <c r="X119" i="1"/>
  <c r="X118" i="1"/>
  <c r="D43" i="1"/>
  <c r="E43" i="1"/>
  <c r="F43" i="1"/>
  <c r="X123" i="1"/>
  <c r="X121" i="1"/>
  <c r="X120" i="1"/>
  <c r="D44" i="1"/>
  <c r="E44" i="1"/>
  <c r="F44" i="1"/>
  <c r="X124" i="1"/>
  <c r="X122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AB86" i="1" l="1"/>
  <c r="AA86" i="1" s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Leonardo da Cruz Nassif</author>
    <author>leonardocn</author>
  </authors>
  <commentList>
    <comment ref="C29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<sst xmlns="http://schemas.openxmlformats.org/spreadsheetml/2006/main" count="178" uniqueCount="147">
  <si>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</si>
  <si>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</si>
  <si>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</si>
  <si>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</si>
  <si>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</si>
  <si>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</si>
  <si>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</si>
  <si>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</si>
  <si>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</si>
  <si>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</si>
  <si>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</si>
  <si>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</si>
  <si>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</si>
  <si>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</si>
  <si>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</si>
  <si>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</si>
  <si>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</si>
  <si>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</si>
  <si>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</si>
  <si>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</si>
  <si>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</si>
  <si>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</si>
  <si>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</si>
  <si>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</si>
  <si>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</si>
  <si>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P(mín)</t>
  </si>
  <si>
    <t>Valor mín do pagamento</t>
  </si>
  <si>
    <t>Prazo de pagamento</t>
  </si>
  <si>
    <t>Carência de Resgate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</si>
  <si>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</si>
  <si>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</si>
  <si>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</si>
  <si>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</si>
  <si>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</si>
  <si>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</si>
  <si>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</si>
  <si>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</si>
  <si>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</si>
  <si>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</si>
  <si>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</si>
  <si>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</si>
  <si>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</si>
  <si>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</si>
  <si>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</si>
  <si>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</si>
  <si>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</si>
  <si>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</si>
  <si>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</si>
  <si>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</si>
  <si>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</si>
  <si>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</si>
  <si>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</si>
  <si>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</si>
  <si>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</si>
  <si>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</si>
  <si>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</si>
  <si>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</si>
  <si>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</si>
  <si>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</si>
  <si>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</si>
  <si>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</si>
  <si>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</si>
  <si>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</si>
  <si>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</si>
  <si>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</si>
  <si>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</si>
  <si>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</si>
  <si>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</si>
  <si>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</si>
  <si>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</si>
  <si>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</si>
  <si>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</si>
  <si>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</si>
  <si>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</si>
  <si>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</si>
  <si>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</si>
  <si>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</si>
  <si>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</si>
  <si>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</si>
  <si>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</si>
  <si>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</si>
  <si>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</si>
  <si>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</si>
  <si>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</si>
  <si>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</si>
  <si>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</si>
  <si>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</si>
  <si>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</si>
  <si>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</si>
  <si>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</si>
  <si>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</si>
  <si>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</si>
  <si>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</si>
  <si>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</si>
  <si>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</si>
  <si>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</si>
  <si>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</si>
  <si>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</si>
  <si>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</si>
  <si>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</si>
  <si>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</si>
  <si>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</si>
  <si>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</si>
  <si>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</si>
  <si>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</si>
  <si>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</si>
  <si>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</si>
  <si>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</si>
  <si>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</si>
  <si>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>APLICAP CAPITALIZAÇÃO S.A.</t>
  </si>
  <si>
    <t>Aplicap</t>
  </si>
  <si>
    <t>APLUB CAPITALIZAÇÃO S.A.</t>
  </si>
  <si>
    <t>Aplub</t>
  </si>
  <si>
    <t>BRADESCO CAPITALIZAÇÃO S.A.</t>
  </si>
  <si>
    <t>Bradesco</t>
  </si>
  <si>
    <t>BRASILCAP CAPITALIZAÇÃO S.A.</t>
  </si>
  <si>
    <t>Brasilcap</t>
  </si>
  <si>
    <t>CAIXA CAPITALIZAÇÃO S.A.</t>
  </si>
  <si>
    <t>Caixa</t>
  </si>
  <si>
    <t>CAPEMISA CAPITALIZAÇÃO S.A.</t>
  </si>
  <si>
    <t>Capemisa</t>
  </si>
  <si>
    <t>CIA. ITAÚ DE CAPITALIZAÇÃO</t>
  </si>
  <si>
    <t>Cia Itaú</t>
  </si>
  <si>
    <t>ICATU CAPITALIZAÇÃO S.A.</t>
  </si>
  <si>
    <t>Icatu</t>
  </si>
  <si>
    <t>INVEST CAPITALIZAÇÃO S.A. (Antiga denominação de INVESTPREV CAPITALIZAÇÃO S.A.)</t>
  </si>
  <si>
    <t>Invest</t>
  </si>
  <si>
    <t>LIDERANÇA CAPITALIZAÇÃO S.A.</t>
  </si>
  <si>
    <t>Liderança</t>
  </si>
  <si>
    <t>MAPFRE Capitalização S.A.</t>
  </si>
  <si>
    <t>Mapfre</t>
  </si>
  <si>
    <t>PORTO SEGURO CAPITALIZAÇÃO S.A.</t>
  </si>
  <si>
    <t>Porto Seguro</t>
  </si>
  <si>
    <t>RIO GRANDE CAPITALIZAÇÃO  S.A.</t>
  </si>
  <si>
    <t>RG</t>
  </si>
  <si>
    <t>SANTANDER CAPITALIZAÇÃO S.A.</t>
  </si>
  <si>
    <t>Santander</t>
  </si>
  <si>
    <t>SUL AMÉRICA CAPITALIZAÇÃO S.A. - SULACAP</t>
  </si>
  <si>
    <t>Sulacap</t>
  </si>
  <si>
    <t>VANGUARDACAP CAPITALIZAÇÃO S.A.</t>
  </si>
  <si>
    <t>VanguardaCap</t>
  </si>
  <si>
    <t>ZURICH BRASIL CAPITALIZAÇÃO S.A.</t>
  </si>
  <si>
    <t>Zurich</t>
  </si>
  <si>
    <t>Tabela de 10% do PL Auditado em dezembro/2019</t>
  </si>
  <si>
    <t>Possui Contemplação Obrigatória?</t>
  </si>
  <si>
    <t>Crítica de Produto com Contemplação Obrigatória</t>
  </si>
  <si>
    <t>Versão da Planilha de 21/05/2020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</si>
</sst>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0" fontId="0" fillId="0" borderId="0" xfId="0" applyFill="1" applyProtection="1"/>
    <xf numFmtId="0" fontId="8" fillId="0" borderId="0" xfId="0" applyFont="1" applyProtection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49" fontId="0" fillId="0" borderId="0" xfId="0" applyNumberFormat="1"/>
    <xf numFmtId="44" fontId="0" fillId="0" borderId="0" xfId="6" applyFont="1"/>
    <xf numFmtId="165" fontId="0" fillId="6" borderId="33" xfId="0" applyNumberFormat="1" applyFill="1" applyBorder="1"/>
    <xf numFmtId="165" fontId="0" fillId="6" borderId="3" xfId="0" applyNumberFormat="1" applyFill="1" applyBorder="1"/>
    <xf numFmtId="165" fontId="0" fillId="0" borderId="0" xfId="0" applyNumberFormat="1"/>
    <xf numFmtId="43" fontId="4" fillId="10" borderId="16" xfId="1" applyNumberFormat="1" applyFont="1" applyFill="1" applyBorder="1" applyAlignment="1" applyProtection="1">
      <alignment horizontal="center"/>
      <protection locked="0"/>
    </xf>
    <xf numFmtId="43" fontId="4" fillId="10" borderId="16" xfId="1" applyFont="1" applyFill="1" applyBorder="1" applyAlignment="1" applyProtection="1">
      <alignment horizontal="center"/>
      <protection locked="0"/>
    </xf>
    <xf numFmtId="0" fontId="10" fillId="11" borderId="4" xfId="0" applyFont="1" applyFill="1" applyBorder="1" applyAlignment="1">
      <alignment horizontal="left"/>
    </xf>
    <xf numFmtId="0" fontId="10" fillId="0" borderId="0" xfId="0" applyFont="1"/>
    <xf numFmtId="0" fontId="10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0" fillId="0" borderId="0" xfId="0" applyBorder="1" applyProtection="1"/>
    <xf numFmtId="0" fontId="9" fillId="0" borderId="13" xfId="0" applyFont="1" applyBorder="1" applyAlignment="1" applyProtection="1">
      <alignment horizontal="center"/>
    </xf>
    <xf numFmtId="0" fontId="9" fillId="0" borderId="0" xfId="0" applyFont="1" applyBorder="1" applyProtection="1"/>
    <xf numFmtId="0" fontId="9" fillId="0" borderId="14" xfId="0" applyFont="1" applyBorder="1" applyAlignment="1" applyProtection="1">
      <alignment horizontal="center"/>
    </xf>
    <xf numFmtId="0" fontId="9" fillId="0" borderId="34" xfId="0" applyFont="1" applyBorder="1" applyProtection="1"/>
    <xf numFmtId="0" fontId="0" fillId="0" borderId="34" xfId="0" applyBorder="1" applyProtection="1"/>
    <xf numFmtId="0" fontId="0" fillId="0" borderId="8" xfId="0" applyBorder="1" applyProtection="1"/>
    <xf numFmtId="0" fontId="9" fillId="0" borderId="34" xfId="0" applyFont="1" applyBorder="1" applyAlignment="1" applyProtection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5" xfId="0" applyFont="1" applyBorder="1" applyAlignment="1" applyProtection="1">
      <alignment horizontal="center"/>
    </xf>
    <xf numFmtId="0" fontId="5" fillId="0" borderId="36" xfId="0" applyFont="1" applyBorder="1" applyAlignment="1" applyProtection="1">
      <alignment horizontal="center"/>
    </xf>
    <xf numFmtId="0" fontId="5" fillId="0" borderId="37" xfId="0" applyFont="1" applyBorder="1" applyAlignment="1" applyProtection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12" borderId="7" xfId="0" applyFill="1" applyBorder="1" applyAlignment="1" applyProtection="1">
      <alignment horizontal="left"/>
    </xf>
    <xf numFmtId="10" fontId="0" fillId="0" borderId="7" xfId="2" applyNumberFormat="1" applyFont="1" applyBorder="1" applyAlignment="1" applyProtection="1">
      <alignment horizontal="center"/>
    </xf>
  </cellXfs>
  <cellStyles count="13">
    <cellStyle name="Moeda" xfId="6" builtinId="4"/>
    <cellStyle name="Moeda 2" xfId="10" xr:uid="{00000000-0005-0000-0000-000001000000}"/>
    <cellStyle name="Normal" xfId="0" builtinId="0"/>
    <cellStyle name="Normal 3" xfId="3" xr:uid="{00000000-0005-0000-0000-000003000000}"/>
    <cellStyle name="Porcentagem" xfId="2" builtinId="5"/>
    <cellStyle name="Porcentagem 3" xfId="4" xr:uid="{00000000-0005-0000-0000-000005000000}"/>
    <cellStyle name="Separador de milhares 2 2" xfId="5" xr:uid="{00000000-0005-0000-0000-000006000000}"/>
    <cellStyle name="Separador de milhares 2 2 2" xfId="12" xr:uid="{00000000-0005-0000-0000-000007000000}"/>
    <cellStyle name="Separador de milhares 2 2 3" xfId="9" xr:uid="{00000000-0005-0000-0000-000008000000}"/>
    <cellStyle name="Vírgula" xfId="1" builtinId="3"/>
    <cellStyle name="Vírgula 2" xfId="7" xr:uid="{00000000-0005-0000-0000-00000A000000}"/>
    <cellStyle name="Vírgula 2 2" xfId="11" xr:uid="{00000000-0005-0000-0000-00000B000000}"/>
    <cellStyle name="Vírgula 3" xfId="8" xr:uid="{00000000-0005-0000-0000-00000C000000}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AR149"/>
  <sheetViews>
    <sheetView tabSelected="1" zoomScaleNormal="100" workbookViewId="0">
      <selection activeCell="B19" sqref="B19"/>
    </sheetView>
  </sheetViews>
  <sheetFormatPr defaultColWidth="8.81640625" defaultRowHeight="14.5" x14ac:dyDescent="0.35"/>
  <cols>
    <col min="1" max="1" width="31.453125" style="14" customWidth="1"/>
    <col min="2" max="2" width="21.453125" style="14" customWidth="1"/>
    <col min="3" max="3" width="10" style="14" customWidth="1"/>
    <col min="4" max="4" width="8.81640625" style="14" customWidth="1"/>
    <col min="5" max="5" width="10.7265625" style="14" customWidth="1"/>
    <col min="6" max="6" width="12.26953125" style="14" customWidth="1"/>
    <col min="7" max="7" width="10.7265625" style="14" customWidth="1"/>
    <col min="8" max="8" width="7.453125" style="14" customWidth="1"/>
    <col min="9" max="9" width="8.7265625" style="14" customWidth="1"/>
    <col min="10" max="11" width="13.453125" style="14" customWidth="1"/>
    <col min="12" max="12" width="4.7265625" style="14" customWidth="1"/>
    <col min="13" max="13" width="5" style="14" customWidth="1"/>
    <col min="14" max="18" width="13.54296875" style="14" customWidth="1"/>
    <col min="19" max="19" width="4.453125" style="14" customWidth="1"/>
    <col min="20" max="21" width="21.54296875" style="14" customWidth="1"/>
    <col min="22" max="22" width="4.453125" style="14" customWidth="1"/>
    <col min="23" max="24" width="21.54296875" style="14" customWidth="1"/>
    <col min="25" max="25" width="11.7265625" style="14" bestFit="1" customWidth="1"/>
    <col min="26" max="26" width="8.81640625" style="14"/>
    <col min="27" max="27" width="12.453125" style="14" bestFit="1" customWidth="1"/>
    <col min="28" max="28" width="12.453125" style="14" customWidth="1"/>
    <col min="29" max="29" width="21.54296875" style="14" customWidth="1"/>
    <col min="30" max="30" width="3.453125" style="14" customWidth="1"/>
    <col min="31" max="31" width="10.453125" style="14" bestFit="1" customWidth="1"/>
    <col min="32" max="32" width="2.81640625" style="14" customWidth="1"/>
    <col min="33" max="16384" width="8.81640625" style="14"/>
  </cols>
  <sheetData>
    <row r="1" spans="1:11" x14ac:dyDescent="0.35">
      <c r="A1" s="61" t="s">
        <v>146</v>
      </c>
      <c r="B1" s="15"/>
      <c r="C1" s="15"/>
      <c r="D1" s="63"/>
      <c r="E1" s="63"/>
      <c r="F1" s="63"/>
      <c r="G1" s="63"/>
      <c r="H1" s="63"/>
      <c r="I1" s="63"/>
    </row>
    <row r="2" spans="1:11" x14ac:dyDescent="0.35">
      <c r="A2" s="63"/>
      <c r="B2" s="15"/>
      <c r="C2" s="15"/>
      <c r="D2" s="63"/>
      <c r="E2" s="63"/>
      <c r="F2" s="63"/>
      <c r="G2" s="63"/>
      <c r="H2" s="15" t="s">
        <v>0</v>
      </c>
      <c r="I2" s="63"/>
    </row>
    <row r="3" spans="1:11" ht="15" thickBot="1" x14ac:dyDescent="0.4">
      <c r="A3" s="15" t="s">
        <v>1</v>
      </c>
      <c r="B3" s="63"/>
      <c r="C3" s="15"/>
      <c r="D3" s="63"/>
      <c r="E3" s="63"/>
      <c r="F3" s="63"/>
      <c r="G3" s="63"/>
      <c r="H3" s="63" t="s">
        <v>2</v>
      </c>
      <c r="I3" s="63"/>
    </row>
    <row r="4" spans="1:11" ht="15" thickBot="1" x14ac:dyDescent="0.4">
      <c r="A4" s="16" t="s">
        <v>3</v>
      </c>
      <c r="B4" s="93"/>
      <c r="C4" s="15"/>
      <c r="D4" s="63"/>
      <c r="E4" s="63"/>
      <c r="F4" s="63"/>
      <c r="G4" s="63"/>
      <c r="H4" s="17"/>
      <c r="I4" s="63" t="s">
        <v>4</v>
      </c>
    </row>
    <row r="5" spans="1:11" ht="15" thickBot="1" x14ac:dyDescent="0.4">
      <c r="A5" s="16" t="s">
        <v>5</v>
      </c>
      <c r="B5" s="94"/>
      <c r="C5" s="15"/>
      <c r="D5" s="63"/>
      <c r="E5" s="63"/>
      <c r="F5" s="63"/>
      <c r="G5" s="63"/>
      <c r="H5" s="19"/>
      <c r="I5" s="63" t="s">
        <v>6</v>
      </c>
    </row>
    <row r="6" spans="1:11" ht="15" thickBot="1" x14ac:dyDescent="0.4">
      <c r="A6" s="16" t="s">
        <v>7</v>
      </c>
      <c r="B6" s="93"/>
      <c r="C6" s="63"/>
      <c r="D6" s="63"/>
      <c r="E6" s="63"/>
      <c r="F6" s="63"/>
      <c r="G6" s="63"/>
      <c r="H6" s="20"/>
      <c r="I6" s="63" t="s">
        <v>8</v>
      </c>
    </row>
    <row r="7" spans="1:11" ht="15" thickBot="1" x14ac:dyDescent="0.4">
      <c r="A7" s="18" t="s">
        <v>9</v>
      </c>
      <c r="B7" s="93"/>
      <c r="C7" s="63"/>
      <c r="D7" s="63"/>
      <c r="E7" s="63"/>
      <c r="F7" s="63"/>
      <c r="G7" s="63"/>
      <c r="H7" s="41"/>
      <c r="I7" s="63" t="s">
        <v>10</v>
      </c>
    </row>
    <row r="8" spans="1:11" ht="15" thickBot="1" x14ac:dyDescent="0.4">
      <c r="A8" s="16" t="s">
        <v>11</v>
      </c>
      <c r="B8" s="93"/>
      <c r="C8" s="63"/>
      <c r="D8" s="63"/>
      <c r="E8" s="63"/>
      <c r="F8" s="63"/>
      <c r="G8" s="63"/>
      <c r="H8" s="77"/>
      <c r="I8" s="77"/>
    </row>
    <row r="9" spans="1:11" ht="15" thickBot="1" x14ac:dyDescent="0.4">
      <c r="A9" s="63"/>
      <c r="B9" s="63"/>
      <c r="C9" s="63"/>
      <c r="D9" s="63"/>
      <c r="E9" s="63"/>
      <c r="F9" s="63"/>
      <c r="G9" s="77"/>
      <c r="H9" s="101" t="s">
        <v>12</v>
      </c>
      <c r="I9" s="102"/>
      <c r="J9" s="102"/>
      <c r="K9" s="103"/>
    </row>
    <row r="10" spans="1:11" ht="15.5" thickTop="1" thickBot="1" x14ac:dyDescent="0.4">
      <c r="A10" s="15" t="s">
        <v>13</v>
      </c>
      <c r="B10" s="63"/>
      <c r="C10" s="63"/>
      <c r="D10" s="63"/>
      <c r="E10" s="63"/>
      <c r="F10" s="63"/>
      <c r="G10" s="77"/>
      <c r="H10" s="78">
        <f>IF(SUM(AB26:AB44)&gt;0,SUM(AB26:AB44),"Ok")</f>
        <v>14</v>
      </c>
      <c r="I10" s="79" t="str">
        <f>IF(H10="Ok", "",IF(H10&gt;0, "itens inconsistentes.",""))</f>
        <v>itens inconsistentes.</v>
      </c>
      <c r="J10" s="77"/>
      <c r="K10" s="36"/>
    </row>
    <row r="11" spans="1:11" ht="15" thickBot="1" x14ac:dyDescent="0.4">
      <c r="A11" s="64" t="s">
        <v>14</v>
      </c>
      <c r="B11" s="85"/>
      <c r="C11" s="63" t="s">
        <v>15</v>
      </c>
      <c r="D11" s="63"/>
      <c r="E11" s="63"/>
      <c r="F11" s="63"/>
      <c r="G11" s="77"/>
      <c r="H11" s="80">
        <f>IF(H10="Ok", "",IF(H10&gt;0,VLOOKUP(1,$Z$26:$AC$44,2,0),""))</f>
        <v>8</v>
      </c>
      <c r="I11" s="81" t="str">
        <f>IF(H10="Ok", "",IF(H10&gt;0,VLOOKUP(1,$Z$26:$AC$44,4,0),"As críticas de preenchimento não encontraram inconsistências"))</f>
        <v>variável(is) deve(m) ser preenchida(s).</v>
      </c>
      <c r="J11" s="82"/>
      <c r="K11" s="83"/>
    </row>
    <row r="12" spans="1:11" ht="15" thickBot="1" x14ac:dyDescent="0.4">
      <c r="A12" s="64" t="s">
        <v>16</v>
      </c>
      <c r="B12" s="86"/>
      <c r="C12" s="63" t="s">
        <v>17</v>
      </c>
      <c r="D12" s="63"/>
      <c r="E12" s="63"/>
      <c r="F12" s="63"/>
      <c r="G12" s="77"/>
      <c r="H12" s="101" t="s">
        <v>18</v>
      </c>
      <c r="I12" s="102"/>
      <c r="J12" s="102"/>
      <c r="K12" s="103"/>
    </row>
    <row r="13" spans="1:11" ht="15" thickBot="1" x14ac:dyDescent="0.4">
      <c r="A13" s="64" t="s">
        <v>19</v>
      </c>
      <c r="B13" s="87"/>
      <c r="C13" s="63" t="s">
        <v>20</v>
      </c>
      <c r="D13" s="63"/>
      <c r="E13" s="63"/>
      <c r="F13" s="63"/>
      <c r="G13" s="77"/>
      <c r="H13" s="78" t="e">
        <f ca="1">IF(SUM(AB85:AB113)&gt;0,SUM(AB85:AB113),"Ok")</f>
        <v>#REF!</v>
      </c>
      <c r="I13" s="79" t="e">
        <f ca="1">IF(H13="Ok", "",IF(H13&gt;0, "itens inconsistentes.",""))</f>
        <v>#REF!</v>
      </c>
      <c r="J13" s="77"/>
      <c r="K13" s="36"/>
    </row>
    <row r="14" spans="1:11" ht="15" thickBot="1" x14ac:dyDescent="0.4">
      <c r="A14" s="64" t="s">
        <v>21</v>
      </c>
      <c r="B14" s="87"/>
      <c r="C14" s="63" t="s">
        <v>22</v>
      </c>
      <c r="D14" s="63"/>
      <c r="E14" s="63"/>
      <c r="F14" s="63"/>
      <c r="G14" s="77"/>
      <c r="H14" s="80" t="e">
        <f ca="1">IF(H13="Ok", "",IF(H13&gt;0,VLOOKUP(1,$AA$85:$AC$113,2,0),""))</f>
        <v>#REF!</v>
      </c>
      <c r="I14" s="81" t="e">
        <f ca="1">IF(H13="Ok", "",IF(H13&gt;0,VLOOKUP(1,$AA$85:$AC$113,3,0),"As críticas de preenchimento não encontraram inconsistências"))</f>
        <v>#REF!</v>
      </c>
      <c r="J14" s="82"/>
      <c r="K14" s="83"/>
    </row>
    <row r="15" spans="1:11" ht="15" thickBot="1" x14ac:dyDescent="0.4">
      <c r="A15" s="64" t="s">
        <v>23</v>
      </c>
      <c r="B15" s="88"/>
      <c r="C15" s="63" t="s">
        <v>24</v>
      </c>
      <c r="D15" s="63"/>
      <c r="E15" s="63"/>
      <c r="F15" s="63"/>
      <c r="G15" s="63"/>
      <c r="H15" s="101" t="s">
        <v>145</v>
      </c>
      <c r="I15" s="102"/>
      <c r="J15" s="102"/>
      <c r="K15" s="103"/>
    </row>
    <row r="16" spans="1:11" ht="15.75" customHeight="1" thickBot="1" x14ac:dyDescent="0.4">
      <c r="A16" s="64" t="s">
        <v>25</v>
      </c>
      <c r="B16" s="89"/>
      <c r="C16" s="63" t="s">
        <v>26</v>
      </c>
      <c r="D16" s="63"/>
      <c r="E16" s="63"/>
      <c r="F16" s="63"/>
      <c r="G16" s="63"/>
      <c r="H16" s="80" t="str">
        <f>IF(OR(B19="NÃO",B26&lt;B30),"OK"," ")</f>
        <v xml:space="preserve"> </v>
      </c>
      <c r="I16" s="84" t="str">
        <f>IF(AND(B19="SIM",H16=" "),"PRODUTO IRREGULAR - A quota efetiva de sorteio está superior à quota de capitalização"," ")</f>
        <v xml:space="preserve"> </v>
      </c>
      <c r="J16" s="82"/>
      <c r="K16" s="83"/>
    </row>
    <row r="17" spans="1:29" ht="15.75" customHeight="1" thickBot="1" x14ac:dyDescent="0.4">
      <c r="A17" s="64" t="s">
        <v>27</v>
      </c>
      <c r="B17" s="90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</row>
    <row r="18" spans="1:29" ht="15.75" customHeight="1" thickBot="1" x14ac:dyDescent="0.4">
      <c r="A18" s="64" t="s">
        <v>28</v>
      </c>
      <c r="B18" s="91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</row>
    <row r="19" spans="1:29" s="63" customFormat="1" ht="15.75" customHeight="1" thickBot="1" x14ac:dyDescent="0.4">
      <c r="A19" s="73" t="s">
        <v>144</v>
      </c>
      <c r="B19" s="89"/>
      <c r="C19" s="74"/>
      <c r="D19" s="74"/>
    </row>
    <row r="20" spans="1:29" s="63" customFormat="1" ht="15.75" customHeight="1" thickBot="1" x14ac:dyDescent="0.4">
      <c r="A20" s="75" t="str">
        <f>IF(B19="SIM","Contemplação Obrigatória"," ")</f>
        <v xml:space="preserve"> </v>
      </c>
      <c r="B20" s="92"/>
      <c r="C20" s="74" t="str">
        <f>IF(B19="SIM","Quantidade mínima de títulos vendidos para a contemplação obrigatória"," ")</f>
        <v xml:space="preserve"> </v>
      </c>
      <c r="D20" s="74"/>
    </row>
    <row r="21" spans="1:29" ht="15.75" customHeight="1" x14ac:dyDescent="0.3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</row>
    <row r="22" spans="1:29" ht="15" thickBot="1" x14ac:dyDescent="0.4">
      <c r="A22" s="15" t="s">
        <v>29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95" t="s">
        <v>30</v>
      </c>
      <c r="O22" s="95"/>
      <c r="P22" s="95"/>
      <c r="Q22" s="95"/>
      <c r="R22" s="95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</row>
    <row r="23" spans="1:29" ht="15" thickBot="1" x14ac:dyDescent="0.4">
      <c r="A23" s="64" t="s">
        <v>31</v>
      </c>
      <c r="B23" s="76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95"/>
      <c r="O23" s="95"/>
      <c r="P23" s="95"/>
      <c r="Q23" s="95"/>
      <c r="R23" s="95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</row>
    <row r="24" spans="1:29" ht="15" thickBot="1" x14ac:dyDescent="0.4">
      <c r="A24" s="64" t="s">
        <v>32</v>
      </c>
      <c r="B24" s="62"/>
      <c r="C24" s="65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21"/>
      <c r="S24" s="63"/>
      <c r="T24" s="63"/>
      <c r="U24" s="22"/>
      <c r="V24" s="63"/>
      <c r="W24" s="63"/>
      <c r="X24" s="63"/>
      <c r="Y24" s="63"/>
      <c r="Z24" s="63"/>
      <c r="AA24" s="63"/>
      <c r="AB24" s="63"/>
      <c r="AC24" s="63"/>
    </row>
    <row r="25" spans="1:29" ht="15" thickBot="1" x14ac:dyDescent="0.4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95" t="s">
        <v>33</v>
      </c>
      <c r="O25" s="95"/>
      <c r="P25" s="95"/>
      <c r="Q25" s="95"/>
      <c r="R25" s="95"/>
      <c r="S25" s="63"/>
      <c r="T25" s="63"/>
      <c r="U25" s="63"/>
      <c r="V25" s="23"/>
      <c r="W25" s="63"/>
      <c r="X25" s="63"/>
      <c r="Y25" s="63"/>
      <c r="Z25" s="63"/>
      <c r="AA25" s="63"/>
      <c r="AB25" s="63"/>
      <c r="AC25" s="63"/>
    </row>
    <row r="26" spans="1:29" ht="15" thickBot="1" x14ac:dyDescent="0.4">
      <c r="A26" s="107" t="str">
        <f>IF(B19="SIM", "Quota Efetiva de Sorteio", "  ")</f>
        <v xml:space="preserve">  </v>
      </c>
      <c r="B26" s="108" t="str">
        <f>IF(B19="SIM",X27/B20,"  ")</f>
        <v xml:space="preserve">  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95"/>
      <c r="O26" s="95"/>
      <c r="P26" s="95"/>
      <c r="Q26" s="95"/>
      <c r="R26" s="95"/>
      <c r="S26" s="63"/>
      <c r="T26" s="24" t="s">
        <v>34</v>
      </c>
      <c r="U26" s="25" t="s">
        <v>34</v>
      </c>
      <c r="V26" s="15"/>
      <c r="W26" s="24" t="s">
        <v>34</v>
      </c>
      <c r="X26" s="25" t="s">
        <v>34</v>
      </c>
      <c r="Y26" s="63"/>
      <c r="Z26" s="63">
        <f t="shared" ref="Z26:Z44" si="0">IF(AA26&gt;0,1,0)</f>
        <v>0</v>
      </c>
      <c r="AA26" s="63">
        <v>0</v>
      </c>
      <c r="AB26" s="63">
        <f>IF(B4&lt;&gt;"",0,1)</f>
        <v>1</v>
      </c>
      <c r="AC26" s="63" t="s">
        <v>35</v>
      </c>
    </row>
    <row r="27" spans="1:29" ht="15" thickBot="1" x14ac:dyDescent="0.4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26" t="e">
        <f ca="1">SUM(OFFSET(T$30,0,0,$B$17))</f>
        <v>#REF!</v>
      </c>
      <c r="U27" s="27" t="e">
        <f ca="1">SUM(OFFSET(U$30,0,0,$B$17))</f>
        <v>#REF!</v>
      </c>
      <c r="V27" s="63"/>
      <c r="W27" s="26" t="e">
        <f ca="1">SUM(OFFSET(W$30,0,0,$B$11))</f>
        <v>#REF!</v>
      </c>
      <c r="X27" s="27" t="e">
        <f ca="1">SUM(OFFSET(X$30,0,0,$B$11))</f>
        <v>#REF!</v>
      </c>
      <c r="Y27" s="63"/>
      <c r="Z27" s="63">
        <f t="shared" si="0"/>
        <v>0</v>
      </c>
      <c r="AA27" s="63">
        <v>0</v>
      </c>
      <c r="AB27" s="63">
        <f>IF(B5&lt;&gt;"",0,1)</f>
        <v>1</v>
      </c>
      <c r="AC27" s="63" t="s">
        <v>35</v>
      </c>
    </row>
    <row r="28" spans="1:29" ht="14.5" customHeight="1" thickBot="1" x14ac:dyDescent="0.4">
      <c r="A28" s="96" t="s">
        <v>36</v>
      </c>
      <c r="B28" s="97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15" t="s">
        <v>37</v>
      </c>
      <c r="O28" s="63"/>
      <c r="P28" s="63"/>
      <c r="Q28" s="63"/>
      <c r="R28" s="63"/>
      <c r="S28" s="63"/>
      <c r="T28" s="63"/>
      <c r="U28" s="63"/>
      <c r="V28" s="63"/>
      <c r="W28" s="63"/>
      <c r="X28" s="28"/>
      <c r="Y28" s="63"/>
      <c r="Z28" s="63">
        <f t="shared" si="0"/>
        <v>0</v>
      </c>
      <c r="AA28" s="63">
        <v>0</v>
      </c>
      <c r="AB28" s="63">
        <f>IF(B6&lt;&gt;"",0,1)</f>
        <v>1</v>
      </c>
      <c r="AC28" s="63" t="s">
        <v>35</v>
      </c>
    </row>
    <row r="29" spans="1:29" ht="57.65" customHeight="1" thickBot="1" x14ac:dyDescent="0.4">
      <c r="A29" s="29" t="s">
        <v>38</v>
      </c>
      <c r="B29" s="29" t="s">
        <v>39</v>
      </c>
      <c r="C29" s="29" t="s">
        <v>40</v>
      </c>
      <c r="D29" s="29" t="s">
        <v>41</v>
      </c>
      <c r="E29" s="30" t="s">
        <v>42</v>
      </c>
      <c r="F29" s="30" t="s">
        <v>43</v>
      </c>
      <c r="G29" s="45"/>
      <c r="H29" s="31"/>
      <c r="I29" s="29" t="s">
        <v>44</v>
      </c>
      <c r="J29" s="29" t="s">
        <v>45</v>
      </c>
      <c r="K29" s="30" t="s">
        <v>46</v>
      </c>
      <c r="L29" s="22"/>
      <c r="M29" s="63"/>
      <c r="N29" s="30" t="s">
        <v>47</v>
      </c>
      <c r="O29" s="30" t="s">
        <v>48</v>
      </c>
      <c r="P29" s="30" t="s">
        <v>49</v>
      </c>
      <c r="Q29" s="30" t="s">
        <v>50</v>
      </c>
      <c r="R29" s="30" t="s">
        <v>51</v>
      </c>
      <c r="S29" s="63"/>
      <c r="T29" s="29" t="s">
        <v>52</v>
      </c>
      <c r="U29" s="32" t="s">
        <v>53</v>
      </c>
      <c r="V29" s="15"/>
      <c r="W29" s="29" t="s">
        <v>54</v>
      </c>
      <c r="X29" s="32" t="s">
        <v>55</v>
      </c>
      <c r="Y29" s="63"/>
      <c r="Z29" s="63">
        <f t="shared" si="0"/>
        <v>0</v>
      </c>
      <c r="AA29" s="63">
        <v>0</v>
      </c>
      <c r="AB29" s="63">
        <f>IF(B7&lt;&gt;"",0,1)</f>
        <v>1</v>
      </c>
      <c r="AC29" s="63" t="s">
        <v>35</v>
      </c>
    </row>
    <row r="30" spans="1:29" x14ac:dyDescent="0.35">
      <c r="A30" s="33">
        <f>1</f>
        <v>1</v>
      </c>
      <c r="B30" s="12"/>
      <c r="C30" s="13"/>
      <c r="D30" s="10">
        <f>IF(A30&lt;=$B$11,B30*(1+$B$13),0)</f>
        <v>0</v>
      </c>
      <c r="E30" s="11">
        <f t="shared" ref="E30:E61" si="1">IF(A30&lt;=$B$11,D30*C30/IF(A30&lt;=$B$17,A30,$B$17),0)</f>
        <v>0</v>
      </c>
      <c r="F30" s="11">
        <f t="shared" ref="F30:F61" si="2">IF(A30&lt;=$B$11,IF(OR($B$7="PM",$B$7="PP",$B$6="Popular"),MAX(50%,E30),E30),0)</f>
        <v>0</v>
      </c>
      <c r="G30" s="11"/>
      <c r="H30" s="63"/>
      <c r="I30" s="13"/>
      <c r="J30" s="13"/>
      <c r="K30" s="34">
        <f t="shared" ref="K30:K61" si="3">J30+I30+B30</f>
        <v>0</v>
      </c>
      <c r="L30" s="34"/>
      <c r="M30" s="63">
        <v>1</v>
      </c>
      <c r="N30" s="71"/>
      <c r="O30" s="72"/>
      <c r="P30" s="72"/>
      <c r="Q30" s="72"/>
      <c r="R30" s="71"/>
      <c r="S30" s="63"/>
      <c r="T30" s="35">
        <f t="shared" ref="T30:T61" si="4">I30*$B$12</f>
        <v>0</v>
      </c>
      <c r="U30" s="36">
        <f t="shared" ref="U30:U61" si="5">$T30*(B$14+1)^-($A30-1)</f>
        <v>0</v>
      </c>
      <c r="V30" s="63"/>
      <c r="W30" s="37">
        <f t="shared" ref="W30:W61" si="6">N30+O30+P30+Q30+R30</f>
        <v>0</v>
      </c>
      <c r="X30" s="36">
        <f t="shared" ref="X30:X61" si="7">$W30*(B$14+1)^-($A30-1)</f>
        <v>0</v>
      </c>
      <c r="Y30" s="63"/>
      <c r="Z30" s="63">
        <f t="shared" si="0"/>
        <v>0</v>
      </c>
      <c r="AA30" s="63">
        <v>0</v>
      </c>
      <c r="AB30" s="63">
        <f>IF(B8&lt;&gt;"",0,1)</f>
        <v>1</v>
      </c>
      <c r="AC30" s="63" t="s">
        <v>35</v>
      </c>
    </row>
    <row r="31" spans="1:29" x14ac:dyDescent="0.35">
      <c r="A31" s="38">
        <v>2</v>
      </c>
      <c r="B31" s="12"/>
      <c r="C31" s="13"/>
      <c r="D31" s="10">
        <f t="shared" ref="D31:D62" si="8">IF(A31&lt;=$B$11,(D30 + B31)*(1+$B$13),0)</f>
        <v>0</v>
      </c>
      <c r="E31" s="11">
        <f t="shared" si="1"/>
        <v>0</v>
      </c>
      <c r="F31" s="11">
        <f t="shared" si="2"/>
        <v>0</v>
      </c>
      <c r="G31" s="11"/>
      <c r="H31" s="63"/>
      <c r="I31" s="13"/>
      <c r="J31" s="13"/>
      <c r="K31" s="34">
        <f t="shared" si="3"/>
        <v>0</v>
      </c>
      <c r="L31" s="34"/>
      <c r="M31" s="63">
        <v>2</v>
      </c>
      <c r="N31" s="42"/>
      <c r="O31" s="72"/>
      <c r="P31" s="72"/>
      <c r="Q31" s="72"/>
      <c r="R31" s="71"/>
      <c r="S31" s="63"/>
      <c r="T31" s="35">
        <f t="shared" si="4"/>
        <v>0</v>
      </c>
      <c r="U31" s="36">
        <f t="shared" si="5"/>
        <v>0</v>
      </c>
      <c r="V31" s="63"/>
      <c r="W31" s="37">
        <f t="shared" si="6"/>
        <v>0</v>
      </c>
      <c r="X31" s="36">
        <f t="shared" si="7"/>
        <v>0</v>
      </c>
      <c r="Y31" s="63"/>
      <c r="Z31" s="63">
        <f t="shared" si="0"/>
        <v>0</v>
      </c>
      <c r="AA31" s="63">
        <v>0</v>
      </c>
      <c r="AB31" s="63">
        <f t="shared" ref="AB31:AB38" si="9">IF(B11&lt;&gt;"",0,1)</f>
        <v>1</v>
      </c>
      <c r="AC31" s="63" t="s">
        <v>56</v>
      </c>
    </row>
    <row r="32" spans="1:29" x14ac:dyDescent="0.35">
      <c r="A32" s="38">
        <v>3</v>
      </c>
      <c r="B32" s="12"/>
      <c r="C32" s="13"/>
      <c r="D32" s="10">
        <f t="shared" si="8"/>
        <v>0</v>
      </c>
      <c r="E32" s="11">
        <f t="shared" si="1"/>
        <v>0</v>
      </c>
      <c r="F32" s="11">
        <f t="shared" si="2"/>
        <v>0</v>
      </c>
      <c r="G32" s="11"/>
      <c r="H32" s="63"/>
      <c r="I32" s="13"/>
      <c r="J32" s="13"/>
      <c r="K32" s="34">
        <f t="shared" si="3"/>
        <v>0</v>
      </c>
      <c r="L32" s="34"/>
      <c r="M32" s="63">
        <v>3</v>
      </c>
      <c r="N32" s="42"/>
      <c r="O32" s="72"/>
      <c r="P32" s="72"/>
      <c r="Q32" s="72"/>
      <c r="R32" s="71"/>
      <c r="S32" s="39"/>
      <c r="T32" s="35">
        <f t="shared" si="4"/>
        <v>0</v>
      </c>
      <c r="U32" s="36">
        <f t="shared" si="5"/>
        <v>0</v>
      </c>
      <c r="V32" s="63"/>
      <c r="W32" s="37">
        <f t="shared" si="6"/>
        <v>0</v>
      </c>
      <c r="X32" s="36">
        <f t="shared" si="7"/>
        <v>0</v>
      </c>
      <c r="Y32" s="63"/>
      <c r="Z32" s="63">
        <f t="shared" si="0"/>
        <v>0</v>
      </c>
      <c r="AA32" s="63">
        <v>0</v>
      </c>
      <c r="AB32" s="63">
        <f t="shared" si="9"/>
        <v>1</v>
      </c>
      <c r="AC32" s="63" t="s">
        <v>56</v>
      </c>
    </row>
    <row r="33" spans="1:29" x14ac:dyDescent="0.35">
      <c r="A33" s="38">
        <v>4</v>
      </c>
      <c r="B33" s="12"/>
      <c r="C33" s="13"/>
      <c r="D33" s="10">
        <f t="shared" si="8"/>
        <v>0</v>
      </c>
      <c r="E33" s="11">
        <f t="shared" si="1"/>
        <v>0</v>
      </c>
      <c r="F33" s="11">
        <f t="shared" si="2"/>
        <v>0</v>
      </c>
      <c r="G33" s="11"/>
      <c r="H33" s="63"/>
      <c r="I33" s="13"/>
      <c r="J33" s="13"/>
      <c r="K33" s="34">
        <f t="shared" si="3"/>
        <v>0</v>
      </c>
      <c r="L33" s="34"/>
      <c r="M33" s="63">
        <v>4</v>
      </c>
      <c r="N33" s="42"/>
      <c r="O33" s="72"/>
      <c r="P33" s="72"/>
      <c r="Q33" s="72"/>
      <c r="R33" s="71"/>
      <c r="S33" s="63"/>
      <c r="T33" s="35">
        <f t="shared" si="4"/>
        <v>0</v>
      </c>
      <c r="U33" s="36">
        <f t="shared" si="5"/>
        <v>0</v>
      </c>
      <c r="V33" s="63"/>
      <c r="W33" s="37">
        <f t="shared" si="6"/>
        <v>0</v>
      </c>
      <c r="X33" s="36">
        <f t="shared" si="7"/>
        <v>0</v>
      </c>
      <c r="Y33" s="63"/>
      <c r="Z33" s="63">
        <f t="shared" si="0"/>
        <v>0</v>
      </c>
      <c r="AA33" s="63">
        <v>0</v>
      </c>
      <c r="AB33" s="63">
        <f t="shared" si="9"/>
        <v>1</v>
      </c>
      <c r="AC33" s="63" t="s">
        <v>56</v>
      </c>
    </row>
    <row r="34" spans="1:29" x14ac:dyDescent="0.35">
      <c r="A34" s="38">
        <v>5</v>
      </c>
      <c r="B34" s="12"/>
      <c r="C34" s="13"/>
      <c r="D34" s="10">
        <f t="shared" si="8"/>
        <v>0</v>
      </c>
      <c r="E34" s="11">
        <f t="shared" si="1"/>
        <v>0</v>
      </c>
      <c r="F34" s="11">
        <f t="shared" si="2"/>
        <v>0</v>
      </c>
      <c r="G34" s="11"/>
      <c r="H34" s="63"/>
      <c r="I34" s="13"/>
      <c r="J34" s="13"/>
      <c r="K34" s="34">
        <f t="shared" si="3"/>
        <v>0</v>
      </c>
      <c r="L34" s="34"/>
      <c r="M34" s="63">
        <v>5</v>
      </c>
      <c r="N34" s="42"/>
      <c r="O34" s="72"/>
      <c r="P34" s="72"/>
      <c r="Q34" s="72"/>
      <c r="R34" s="71"/>
      <c r="S34" s="40"/>
      <c r="T34" s="35">
        <f t="shared" si="4"/>
        <v>0</v>
      </c>
      <c r="U34" s="36">
        <f t="shared" si="5"/>
        <v>0</v>
      </c>
      <c r="V34" s="63"/>
      <c r="W34" s="37">
        <f t="shared" si="6"/>
        <v>0</v>
      </c>
      <c r="X34" s="36">
        <f t="shared" si="7"/>
        <v>0</v>
      </c>
      <c r="Y34" s="63"/>
      <c r="Z34" s="63">
        <f t="shared" si="0"/>
        <v>0</v>
      </c>
      <c r="AA34" s="63">
        <v>0</v>
      </c>
      <c r="AB34" s="63">
        <f t="shared" si="9"/>
        <v>1</v>
      </c>
      <c r="AC34" s="63" t="s">
        <v>56</v>
      </c>
    </row>
    <row r="35" spans="1:29" x14ac:dyDescent="0.35">
      <c r="A35" s="38">
        <v>6</v>
      </c>
      <c r="B35" s="12"/>
      <c r="C35" s="13"/>
      <c r="D35" s="10">
        <f t="shared" si="8"/>
        <v>0</v>
      </c>
      <c r="E35" s="11">
        <f t="shared" si="1"/>
        <v>0</v>
      </c>
      <c r="F35" s="11">
        <f t="shared" si="2"/>
        <v>0</v>
      </c>
      <c r="G35" s="11"/>
      <c r="H35" s="63"/>
      <c r="I35" s="13"/>
      <c r="J35" s="13"/>
      <c r="K35" s="34">
        <f t="shared" si="3"/>
        <v>0</v>
      </c>
      <c r="L35" s="34"/>
      <c r="M35" s="63">
        <v>6</v>
      </c>
      <c r="N35" s="42"/>
      <c r="O35" s="72"/>
      <c r="P35" s="72"/>
      <c r="Q35" s="72"/>
      <c r="R35" s="71"/>
      <c r="S35" s="63"/>
      <c r="T35" s="35">
        <f t="shared" si="4"/>
        <v>0</v>
      </c>
      <c r="U35" s="36">
        <f t="shared" si="5"/>
        <v>0</v>
      </c>
      <c r="V35" s="63"/>
      <c r="W35" s="37">
        <f t="shared" si="6"/>
        <v>0</v>
      </c>
      <c r="X35" s="36">
        <f t="shared" si="7"/>
        <v>0</v>
      </c>
      <c r="Y35" s="63"/>
      <c r="Z35" s="63">
        <f t="shared" si="0"/>
        <v>0</v>
      </c>
      <c r="AA35" s="63">
        <v>0</v>
      </c>
      <c r="AB35" s="63">
        <f t="shared" si="9"/>
        <v>1</v>
      </c>
      <c r="AC35" s="63" t="s">
        <v>56</v>
      </c>
    </row>
    <row r="36" spans="1:29" x14ac:dyDescent="0.35">
      <c r="A36" s="38">
        <v>7</v>
      </c>
      <c r="B36" s="12"/>
      <c r="C36" s="13"/>
      <c r="D36" s="10">
        <f t="shared" si="8"/>
        <v>0</v>
      </c>
      <c r="E36" s="11">
        <f t="shared" si="1"/>
        <v>0</v>
      </c>
      <c r="F36" s="11">
        <f t="shared" si="2"/>
        <v>0</v>
      </c>
      <c r="G36" s="11"/>
      <c r="H36" s="63"/>
      <c r="I36" s="13"/>
      <c r="J36" s="13"/>
      <c r="K36" s="34">
        <f t="shared" si="3"/>
        <v>0</v>
      </c>
      <c r="L36" s="34"/>
      <c r="M36" s="63">
        <v>7</v>
      </c>
      <c r="N36" s="42"/>
      <c r="O36" s="72"/>
      <c r="P36" s="72"/>
      <c r="Q36" s="72"/>
      <c r="R36" s="71"/>
      <c r="S36" s="63"/>
      <c r="T36" s="35">
        <f t="shared" si="4"/>
        <v>0</v>
      </c>
      <c r="U36" s="36">
        <f t="shared" si="5"/>
        <v>0</v>
      </c>
      <c r="V36" s="63"/>
      <c r="W36" s="37">
        <f t="shared" si="6"/>
        <v>0</v>
      </c>
      <c r="X36" s="36">
        <f t="shared" si="7"/>
        <v>0</v>
      </c>
      <c r="Y36" s="63"/>
      <c r="Z36" s="63">
        <f t="shared" si="0"/>
        <v>0</v>
      </c>
      <c r="AA36" s="63">
        <v>0</v>
      </c>
      <c r="AB36" s="63">
        <f t="shared" si="9"/>
        <v>1</v>
      </c>
      <c r="AC36" s="63" t="s">
        <v>56</v>
      </c>
    </row>
    <row r="37" spans="1:29" x14ac:dyDescent="0.35">
      <c r="A37" s="38">
        <v>8</v>
      </c>
      <c r="B37" s="12"/>
      <c r="C37" s="13"/>
      <c r="D37" s="10">
        <f t="shared" si="8"/>
        <v>0</v>
      </c>
      <c r="E37" s="11">
        <f t="shared" si="1"/>
        <v>0</v>
      </c>
      <c r="F37" s="11">
        <f t="shared" si="2"/>
        <v>0</v>
      </c>
      <c r="G37" s="11"/>
      <c r="H37" s="63"/>
      <c r="I37" s="13"/>
      <c r="J37" s="13"/>
      <c r="K37" s="34">
        <f t="shared" si="3"/>
        <v>0</v>
      </c>
      <c r="L37" s="34"/>
      <c r="M37" s="63">
        <v>8</v>
      </c>
      <c r="N37" s="42"/>
      <c r="O37" s="72"/>
      <c r="P37" s="72"/>
      <c r="Q37" s="72"/>
      <c r="R37" s="71"/>
      <c r="S37" s="63"/>
      <c r="T37" s="35">
        <f t="shared" si="4"/>
        <v>0</v>
      </c>
      <c r="U37" s="36">
        <f t="shared" si="5"/>
        <v>0</v>
      </c>
      <c r="V37" s="63"/>
      <c r="W37" s="37">
        <f t="shared" si="6"/>
        <v>0</v>
      </c>
      <c r="X37" s="36">
        <f t="shared" si="7"/>
        <v>0</v>
      </c>
      <c r="Y37" s="63"/>
      <c r="Z37" s="63">
        <f t="shared" si="0"/>
        <v>0</v>
      </c>
      <c r="AA37" s="63">
        <v>0</v>
      </c>
      <c r="AB37" s="63">
        <f t="shared" si="9"/>
        <v>1</v>
      </c>
      <c r="AC37" s="63" t="s">
        <v>56</v>
      </c>
    </row>
    <row r="38" spans="1:29" x14ac:dyDescent="0.35">
      <c r="A38" s="38">
        <v>9</v>
      </c>
      <c r="B38" s="12"/>
      <c r="C38" s="13"/>
      <c r="D38" s="10">
        <f t="shared" si="8"/>
        <v>0</v>
      </c>
      <c r="E38" s="11">
        <f t="shared" si="1"/>
        <v>0</v>
      </c>
      <c r="F38" s="11">
        <f t="shared" si="2"/>
        <v>0</v>
      </c>
      <c r="G38" s="11"/>
      <c r="H38" s="63"/>
      <c r="I38" s="13"/>
      <c r="J38" s="13"/>
      <c r="K38" s="34">
        <f t="shared" si="3"/>
        <v>0</v>
      </c>
      <c r="L38" s="34"/>
      <c r="M38" s="63">
        <v>9</v>
      </c>
      <c r="N38" s="42"/>
      <c r="O38" s="72"/>
      <c r="P38" s="72"/>
      <c r="Q38" s="72"/>
      <c r="R38" s="71"/>
      <c r="S38" s="63"/>
      <c r="T38" s="35">
        <f t="shared" si="4"/>
        <v>0</v>
      </c>
      <c r="U38" s="36">
        <f t="shared" si="5"/>
        <v>0</v>
      </c>
      <c r="V38" s="63"/>
      <c r="W38" s="37">
        <f t="shared" si="6"/>
        <v>0</v>
      </c>
      <c r="X38" s="36">
        <f t="shared" si="7"/>
        <v>0</v>
      </c>
      <c r="Y38" s="63"/>
      <c r="Z38" s="63">
        <f t="shared" ref="Z38" si="10">IF(AA38&gt;0,1,0)</f>
        <v>1</v>
      </c>
      <c r="AA38" s="63">
        <f>SUM(AB31:AB38)</f>
        <v>8</v>
      </c>
      <c r="AB38" s="63">
        <f t="shared" si="9"/>
        <v>1</v>
      </c>
      <c r="AC38" s="63" t="s">
        <v>56</v>
      </c>
    </row>
    <row r="39" spans="1:29" x14ac:dyDescent="0.35">
      <c r="A39" s="38">
        <v>10</v>
      </c>
      <c r="B39" s="12"/>
      <c r="C39" s="13"/>
      <c r="D39" s="10">
        <f t="shared" si="8"/>
        <v>0</v>
      </c>
      <c r="E39" s="11">
        <f t="shared" si="1"/>
        <v>0</v>
      </c>
      <c r="F39" s="11">
        <f t="shared" si="2"/>
        <v>0</v>
      </c>
      <c r="G39" s="11"/>
      <c r="H39" s="63"/>
      <c r="I39" s="13"/>
      <c r="J39" s="13"/>
      <c r="K39" s="34">
        <f t="shared" si="3"/>
        <v>0</v>
      </c>
      <c r="L39" s="34"/>
      <c r="M39" s="63">
        <v>10</v>
      </c>
      <c r="N39" s="42"/>
      <c r="O39" s="72"/>
      <c r="P39" s="72"/>
      <c r="Q39" s="72"/>
      <c r="R39" s="71"/>
      <c r="S39" s="63"/>
      <c r="T39" s="35">
        <f t="shared" si="4"/>
        <v>0</v>
      </c>
      <c r="U39" s="36">
        <f t="shared" si="5"/>
        <v>0</v>
      </c>
      <c r="V39" s="63"/>
      <c r="W39" s="37">
        <f t="shared" si="6"/>
        <v>0</v>
      </c>
      <c r="X39" s="36">
        <f t="shared" si="7"/>
        <v>0</v>
      </c>
      <c r="Y39" s="63"/>
      <c r="Z39" s="63">
        <f t="shared" si="0"/>
        <v>0</v>
      </c>
      <c r="AA39" s="63">
        <v>0</v>
      </c>
      <c r="AB39" s="63">
        <f t="array" ref="AB39">SUM(IF($A$30:$A$149&gt;$B$17,IF($B$30:$B$149="",0,1),0))</f>
        <v>0</v>
      </c>
      <c r="AC39" s="63" t="s">
        <v>57</v>
      </c>
    </row>
    <row r="40" spans="1:29" x14ac:dyDescent="0.35">
      <c r="A40" s="38">
        <v>11</v>
      </c>
      <c r="B40" s="12"/>
      <c r="C40" s="13"/>
      <c r="D40" s="10">
        <f t="shared" si="8"/>
        <v>0</v>
      </c>
      <c r="E40" s="11">
        <f t="shared" si="1"/>
        <v>0</v>
      </c>
      <c r="F40" s="11">
        <f t="shared" si="2"/>
        <v>0</v>
      </c>
      <c r="G40" s="11"/>
      <c r="H40" s="63"/>
      <c r="I40" s="13"/>
      <c r="J40" s="13"/>
      <c r="K40" s="34">
        <f t="shared" si="3"/>
        <v>0</v>
      </c>
      <c r="L40" s="34"/>
      <c r="M40" s="63">
        <v>11</v>
      </c>
      <c r="N40" s="42"/>
      <c r="O40" s="72"/>
      <c r="P40" s="72"/>
      <c r="Q40" s="72"/>
      <c r="R40" s="71"/>
      <c r="S40" s="63"/>
      <c r="T40" s="35">
        <f t="shared" si="4"/>
        <v>0</v>
      </c>
      <c r="U40" s="36">
        <f t="shared" si="5"/>
        <v>0</v>
      </c>
      <c r="V40" s="63"/>
      <c r="W40" s="37">
        <f t="shared" si="6"/>
        <v>0</v>
      </c>
      <c r="X40" s="36">
        <f t="shared" si="7"/>
        <v>0</v>
      </c>
      <c r="Y40" s="63"/>
      <c r="Z40" s="63">
        <f t="shared" si="0"/>
        <v>0</v>
      </c>
      <c r="AA40" s="63">
        <v>0</v>
      </c>
      <c r="AB40" s="63">
        <f t="array" ref="AB40">SUM(IF($A$30:$A$149&gt;$B$11,IF($C$30:$C$149="",0,1),0))</f>
        <v>0</v>
      </c>
      <c r="AC40" s="63" t="s">
        <v>57</v>
      </c>
    </row>
    <row r="41" spans="1:29" x14ac:dyDescent="0.35">
      <c r="A41" s="38">
        <v>12</v>
      </c>
      <c r="B41" s="12"/>
      <c r="C41" s="13"/>
      <c r="D41" s="10">
        <f t="shared" si="8"/>
        <v>0</v>
      </c>
      <c r="E41" s="11">
        <f t="shared" si="1"/>
        <v>0</v>
      </c>
      <c r="F41" s="11">
        <f t="shared" si="2"/>
        <v>0</v>
      </c>
      <c r="G41" s="11"/>
      <c r="H41" s="63"/>
      <c r="I41" s="13"/>
      <c r="J41" s="13"/>
      <c r="K41" s="34">
        <f t="shared" si="3"/>
        <v>0</v>
      </c>
      <c r="L41" s="34"/>
      <c r="M41" s="63">
        <v>12</v>
      </c>
      <c r="N41" s="42"/>
      <c r="O41" s="72"/>
      <c r="P41" s="72"/>
      <c r="Q41" s="72"/>
      <c r="R41" s="71"/>
      <c r="S41" s="63"/>
      <c r="T41" s="35">
        <f t="shared" si="4"/>
        <v>0</v>
      </c>
      <c r="U41" s="36">
        <f t="shared" si="5"/>
        <v>0</v>
      </c>
      <c r="V41" s="63"/>
      <c r="W41" s="37">
        <f t="shared" si="6"/>
        <v>0</v>
      </c>
      <c r="X41" s="36">
        <f t="shared" si="7"/>
        <v>0</v>
      </c>
      <c r="Y41" s="63"/>
      <c r="Z41" s="63">
        <f t="shared" si="0"/>
        <v>0</v>
      </c>
      <c r="AA41" s="63">
        <v>0</v>
      </c>
      <c r="AB41" s="63">
        <f t="array" ref="AB41">SUM(IF($A$30:$A$149&gt;$B$17,IF($I$30:$I$149="",0,1),0))</f>
        <v>0</v>
      </c>
      <c r="AC41" s="63" t="s">
        <v>57</v>
      </c>
    </row>
    <row r="42" spans="1:29" x14ac:dyDescent="0.35">
      <c r="A42" s="38">
        <v>13</v>
      </c>
      <c r="B42" s="12"/>
      <c r="C42" s="13"/>
      <c r="D42" s="10">
        <f t="shared" si="8"/>
        <v>0</v>
      </c>
      <c r="E42" s="11">
        <f t="shared" si="1"/>
        <v>0</v>
      </c>
      <c r="F42" s="11">
        <f t="shared" si="2"/>
        <v>0</v>
      </c>
      <c r="G42" s="11"/>
      <c r="H42" s="63"/>
      <c r="I42" s="13"/>
      <c r="J42" s="13"/>
      <c r="K42" s="34">
        <f t="shared" si="3"/>
        <v>0</v>
      </c>
      <c r="L42" s="34"/>
      <c r="M42" s="63">
        <v>13</v>
      </c>
      <c r="N42" s="42"/>
      <c r="O42" s="72"/>
      <c r="P42" s="72"/>
      <c r="Q42" s="72"/>
      <c r="R42" s="71"/>
      <c r="S42" s="63"/>
      <c r="T42" s="35">
        <f t="shared" si="4"/>
        <v>0</v>
      </c>
      <c r="U42" s="36">
        <f t="shared" si="5"/>
        <v>0</v>
      </c>
      <c r="V42" s="63"/>
      <c r="W42" s="37">
        <f t="shared" si="6"/>
        <v>0</v>
      </c>
      <c r="X42" s="36">
        <f t="shared" si="7"/>
        <v>0</v>
      </c>
      <c r="Y42" s="63"/>
      <c r="Z42" s="63">
        <f t="shared" si="0"/>
        <v>0</v>
      </c>
      <c r="AA42" s="63">
        <v>0</v>
      </c>
      <c r="AB42" s="63">
        <f t="array" ref="AB42">SUM(IF($A$30:$A$149&gt;$B$17,IF($J$30:$J$149="",0,1),0))</f>
        <v>0</v>
      </c>
      <c r="AC42" s="63" t="s">
        <v>57</v>
      </c>
    </row>
    <row r="43" spans="1:29" x14ac:dyDescent="0.35">
      <c r="A43" s="38">
        <v>14</v>
      </c>
      <c r="B43" s="12"/>
      <c r="C43" s="13"/>
      <c r="D43" s="10">
        <f t="shared" si="8"/>
        <v>0</v>
      </c>
      <c r="E43" s="11">
        <f t="shared" si="1"/>
        <v>0</v>
      </c>
      <c r="F43" s="11">
        <f t="shared" si="2"/>
        <v>0</v>
      </c>
      <c r="G43" s="11"/>
      <c r="H43" s="63"/>
      <c r="I43" s="13"/>
      <c r="J43" s="13"/>
      <c r="K43" s="34">
        <f t="shared" si="3"/>
        <v>0</v>
      </c>
      <c r="L43" s="34"/>
      <c r="M43" s="63">
        <v>14</v>
      </c>
      <c r="N43" s="42"/>
      <c r="O43" s="72"/>
      <c r="P43" s="72"/>
      <c r="Q43" s="72"/>
      <c r="R43" s="71"/>
      <c r="S43" s="63"/>
      <c r="T43" s="35">
        <f t="shared" si="4"/>
        <v>0</v>
      </c>
      <c r="U43" s="36">
        <f t="shared" si="5"/>
        <v>0</v>
      </c>
      <c r="V43" s="63"/>
      <c r="W43" s="37">
        <f t="shared" si="6"/>
        <v>0</v>
      </c>
      <c r="X43" s="36">
        <f t="shared" si="7"/>
        <v>0</v>
      </c>
      <c r="Y43" s="63"/>
      <c r="Z43" s="63">
        <f t="shared" si="0"/>
        <v>0</v>
      </c>
      <c r="AA43" s="63">
        <v>0</v>
      </c>
      <c r="AB43" s="63">
        <f>IF(AND(B23&gt;=0,B23&lt;=1),0,1)</f>
        <v>0</v>
      </c>
      <c r="AC43" s="63" t="s">
        <v>57</v>
      </c>
    </row>
    <row r="44" spans="1:29" x14ac:dyDescent="0.35">
      <c r="A44" s="38">
        <v>15</v>
      </c>
      <c r="B44" s="12"/>
      <c r="C44" s="13"/>
      <c r="D44" s="10">
        <f t="shared" si="8"/>
        <v>0</v>
      </c>
      <c r="E44" s="11">
        <f t="shared" si="1"/>
        <v>0</v>
      </c>
      <c r="F44" s="11">
        <f t="shared" si="2"/>
        <v>0</v>
      </c>
      <c r="G44" s="11"/>
      <c r="H44" s="63"/>
      <c r="I44" s="13"/>
      <c r="J44" s="13"/>
      <c r="K44" s="34">
        <f t="shared" si="3"/>
        <v>0</v>
      </c>
      <c r="L44" s="34"/>
      <c r="M44" s="63">
        <v>15</v>
      </c>
      <c r="N44" s="42"/>
      <c r="O44" s="72"/>
      <c r="P44" s="72"/>
      <c r="Q44" s="72"/>
      <c r="R44" s="71"/>
      <c r="S44" s="63"/>
      <c r="T44" s="35">
        <f t="shared" si="4"/>
        <v>0</v>
      </c>
      <c r="U44" s="36">
        <f t="shared" si="5"/>
        <v>0</v>
      </c>
      <c r="V44" s="63"/>
      <c r="W44" s="37">
        <f t="shared" si="6"/>
        <v>0</v>
      </c>
      <c r="X44" s="36">
        <f t="shared" si="7"/>
        <v>0</v>
      </c>
      <c r="Y44" s="63"/>
      <c r="Z44" s="63">
        <f t="shared" si="0"/>
        <v>1</v>
      </c>
      <c r="AA44" s="63">
        <f>SUM(AB39:AB44)</f>
        <v>1</v>
      </c>
      <c r="AB44" s="63">
        <f>IF(AND(B24&gt;=43101,B24&lt;=73050),0,1)</f>
        <v>1</v>
      </c>
      <c r="AC44" s="63" t="s">
        <v>57</v>
      </c>
    </row>
    <row r="45" spans="1:29" x14ac:dyDescent="0.35">
      <c r="A45" s="38">
        <v>16</v>
      </c>
      <c r="B45" s="12"/>
      <c r="C45" s="13"/>
      <c r="D45" s="10">
        <f t="shared" si="8"/>
        <v>0</v>
      </c>
      <c r="E45" s="11">
        <f t="shared" si="1"/>
        <v>0</v>
      </c>
      <c r="F45" s="11">
        <f t="shared" si="2"/>
        <v>0</v>
      </c>
      <c r="G45" s="11"/>
      <c r="H45" s="63"/>
      <c r="I45" s="13"/>
      <c r="J45" s="13"/>
      <c r="K45" s="34">
        <f t="shared" si="3"/>
        <v>0</v>
      </c>
      <c r="L45" s="34"/>
      <c r="M45" s="63">
        <v>16</v>
      </c>
      <c r="N45" s="42"/>
      <c r="O45" s="72"/>
      <c r="P45" s="72"/>
      <c r="Q45" s="72"/>
      <c r="R45" s="71"/>
      <c r="S45" s="63"/>
      <c r="T45" s="35">
        <f t="shared" si="4"/>
        <v>0</v>
      </c>
      <c r="U45" s="36">
        <f t="shared" si="5"/>
        <v>0</v>
      </c>
      <c r="V45" s="63"/>
      <c r="W45" s="37">
        <f t="shared" si="6"/>
        <v>0</v>
      </c>
      <c r="X45" s="36">
        <f t="shared" si="7"/>
        <v>0</v>
      </c>
      <c r="Y45" s="63"/>
      <c r="Z45" s="63">
        <f t="shared" ref="Z45:Z55" si="11">IF(AA45&gt;0,1,0)</f>
        <v>0</v>
      </c>
      <c r="AA45" s="63">
        <v>0</v>
      </c>
      <c r="AB45" s="63">
        <f t="array" ref="AB45">SUM(IF($A$30:$A$149&lt;=$B$17,IF($B$30:$B$149="",1,0),0))</f>
        <v>0</v>
      </c>
      <c r="AC45" s="63" t="s">
        <v>58</v>
      </c>
    </row>
    <row r="46" spans="1:29" x14ac:dyDescent="0.35">
      <c r="A46" s="38">
        <v>17</v>
      </c>
      <c r="B46" s="12"/>
      <c r="C46" s="13"/>
      <c r="D46" s="10">
        <f t="shared" si="8"/>
        <v>0</v>
      </c>
      <c r="E46" s="11">
        <f t="shared" si="1"/>
        <v>0</v>
      </c>
      <c r="F46" s="11">
        <f t="shared" si="2"/>
        <v>0</v>
      </c>
      <c r="G46" s="11"/>
      <c r="H46" s="63"/>
      <c r="I46" s="13"/>
      <c r="J46" s="13"/>
      <c r="K46" s="34">
        <f t="shared" si="3"/>
        <v>0</v>
      </c>
      <c r="L46" s="34"/>
      <c r="M46" s="63">
        <v>17</v>
      </c>
      <c r="N46" s="42"/>
      <c r="O46" s="72"/>
      <c r="P46" s="72"/>
      <c r="Q46" s="72"/>
      <c r="R46" s="71"/>
      <c r="S46" s="63"/>
      <c r="T46" s="35">
        <f t="shared" si="4"/>
        <v>0</v>
      </c>
      <c r="U46" s="36">
        <f t="shared" si="5"/>
        <v>0</v>
      </c>
      <c r="V46" s="63"/>
      <c r="W46" s="37">
        <f t="shared" si="6"/>
        <v>0</v>
      </c>
      <c r="X46" s="36">
        <f t="shared" si="7"/>
        <v>0</v>
      </c>
      <c r="Y46" s="63"/>
      <c r="Z46" s="63">
        <f t="shared" si="11"/>
        <v>0</v>
      </c>
      <c r="AA46" s="63">
        <v>0</v>
      </c>
      <c r="AB46" s="63">
        <f t="array" ref="AB46">SUM(IF($A$30:$A$149&lt;=$B$11,IF($C$30:$C$149="",1,0),0))</f>
        <v>0</v>
      </c>
      <c r="AC46" s="63" t="s">
        <v>58</v>
      </c>
    </row>
    <row r="47" spans="1:29" x14ac:dyDescent="0.35">
      <c r="A47" s="38">
        <v>18</v>
      </c>
      <c r="B47" s="12"/>
      <c r="C47" s="13"/>
      <c r="D47" s="10">
        <f t="shared" si="8"/>
        <v>0</v>
      </c>
      <c r="E47" s="11">
        <f t="shared" si="1"/>
        <v>0</v>
      </c>
      <c r="F47" s="11">
        <f t="shared" si="2"/>
        <v>0</v>
      </c>
      <c r="G47" s="11"/>
      <c r="H47" s="63"/>
      <c r="I47" s="13"/>
      <c r="J47" s="13"/>
      <c r="K47" s="34">
        <f t="shared" si="3"/>
        <v>0</v>
      </c>
      <c r="L47" s="34"/>
      <c r="M47" s="63">
        <v>18</v>
      </c>
      <c r="N47" s="42"/>
      <c r="O47" s="72"/>
      <c r="P47" s="72"/>
      <c r="Q47" s="72"/>
      <c r="R47" s="71"/>
      <c r="S47" s="63"/>
      <c r="T47" s="35">
        <f t="shared" si="4"/>
        <v>0</v>
      </c>
      <c r="U47" s="36">
        <f t="shared" si="5"/>
        <v>0</v>
      </c>
      <c r="V47" s="63"/>
      <c r="W47" s="37">
        <f t="shared" si="6"/>
        <v>0</v>
      </c>
      <c r="X47" s="36">
        <f t="shared" si="7"/>
        <v>0</v>
      </c>
      <c r="Y47" s="63"/>
      <c r="Z47" s="63">
        <f t="shared" si="11"/>
        <v>0</v>
      </c>
      <c r="AA47" s="63">
        <v>0</v>
      </c>
      <c r="AB47" s="63">
        <f t="array" ref="AB47">SUM(IF($A$30:$A$149&lt;=$B$17,IF($I$30:$I$149="",1,0),0))</f>
        <v>0</v>
      </c>
      <c r="AC47" s="63" t="s">
        <v>58</v>
      </c>
    </row>
    <row r="48" spans="1:29" x14ac:dyDescent="0.35">
      <c r="A48" s="38">
        <v>19</v>
      </c>
      <c r="B48" s="12"/>
      <c r="C48" s="13"/>
      <c r="D48" s="10">
        <f t="shared" si="8"/>
        <v>0</v>
      </c>
      <c r="E48" s="11">
        <f t="shared" si="1"/>
        <v>0</v>
      </c>
      <c r="F48" s="11">
        <f t="shared" si="2"/>
        <v>0</v>
      </c>
      <c r="G48" s="11"/>
      <c r="H48" s="63"/>
      <c r="I48" s="13"/>
      <c r="J48" s="13"/>
      <c r="K48" s="34">
        <f t="shared" si="3"/>
        <v>0</v>
      </c>
      <c r="L48" s="34"/>
      <c r="M48" s="63">
        <v>19</v>
      </c>
      <c r="N48" s="42"/>
      <c r="O48" s="72"/>
      <c r="P48" s="72"/>
      <c r="Q48" s="72"/>
      <c r="R48" s="71"/>
      <c r="S48" s="63"/>
      <c r="T48" s="35">
        <f t="shared" si="4"/>
        <v>0</v>
      </c>
      <c r="U48" s="36">
        <f t="shared" si="5"/>
        <v>0</v>
      </c>
      <c r="V48" s="63"/>
      <c r="W48" s="37">
        <f t="shared" si="6"/>
        <v>0</v>
      </c>
      <c r="X48" s="36">
        <f t="shared" si="7"/>
        <v>0</v>
      </c>
      <c r="Y48" s="63"/>
      <c r="Z48" s="63">
        <f t="shared" si="11"/>
        <v>0</v>
      </c>
      <c r="AA48" s="63">
        <f>SUM(AB45:AB48)</f>
        <v>0</v>
      </c>
      <c r="AB48" s="63">
        <f t="array" ref="AB48">SUM(IF($A$30:$A$149&lt;=$B$17,IF($J$30:$J$149="",1,0),0))</f>
        <v>0</v>
      </c>
      <c r="AC48" s="63" t="s">
        <v>58</v>
      </c>
    </row>
    <row r="49" spans="1:44" ht="15" customHeight="1" x14ac:dyDescent="0.35">
      <c r="A49" s="38">
        <v>20</v>
      </c>
      <c r="B49" s="12"/>
      <c r="C49" s="13"/>
      <c r="D49" s="10">
        <f t="shared" si="8"/>
        <v>0</v>
      </c>
      <c r="E49" s="11">
        <f t="shared" si="1"/>
        <v>0</v>
      </c>
      <c r="F49" s="11">
        <f t="shared" si="2"/>
        <v>0</v>
      </c>
      <c r="G49" s="11"/>
      <c r="H49" s="63"/>
      <c r="I49" s="13"/>
      <c r="J49" s="13"/>
      <c r="K49" s="34">
        <f t="shared" si="3"/>
        <v>0</v>
      </c>
      <c r="L49" s="34"/>
      <c r="M49" s="63">
        <v>20</v>
      </c>
      <c r="N49" s="42"/>
      <c r="O49" s="72"/>
      <c r="P49" s="72"/>
      <c r="Q49" s="72"/>
      <c r="R49" s="71"/>
      <c r="S49" s="63"/>
      <c r="T49" s="35">
        <f t="shared" si="4"/>
        <v>0</v>
      </c>
      <c r="U49" s="36">
        <f t="shared" si="5"/>
        <v>0</v>
      </c>
      <c r="V49" s="63"/>
      <c r="W49" s="37">
        <f t="shared" si="6"/>
        <v>0</v>
      </c>
      <c r="X49" s="36">
        <f t="shared" si="7"/>
        <v>0</v>
      </c>
      <c r="Y49" s="63"/>
      <c r="Z49" s="63">
        <f t="shared" si="11"/>
        <v>0</v>
      </c>
      <c r="AA49" s="63">
        <v>0</v>
      </c>
      <c r="AB49" s="63">
        <f t="array" ref="AB49">SUM(IF($A$30:$A$149&gt;$B$11,IF($N$30:$N$149="",0,1),0))</f>
        <v>0</v>
      </c>
      <c r="AC49" s="63" t="s">
        <v>59</v>
      </c>
    </row>
    <row r="50" spans="1:44" ht="15" customHeight="1" x14ac:dyDescent="0.35">
      <c r="A50" s="38">
        <v>21</v>
      </c>
      <c r="B50" s="12"/>
      <c r="C50" s="13"/>
      <c r="D50" s="10">
        <f t="shared" si="8"/>
        <v>0</v>
      </c>
      <c r="E50" s="11">
        <f t="shared" si="1"/>
        <v>0</v>
      </c>
      <c r="F50" s="11">
        <f t="shared" si="2"/>
        <v>0</v>
      </c>
      <c r="G50" s="11"/>
      <c r="H50" s="63"/>
      <c r="I50" s="13"/>
      <c r="J50" s="13"/>
      <c r="K50" s="34">
        <f t="shared" si="3"/>
        <v>0</v>
      </c>
      <c r="L50" s="34"/>
      <c r="M50" s="63">
        <v>21</v>
      </c>
      <c r="N50" s="42"/>
      <c r="O50" s="72"/>
      <c r="P50" s="72"/>
      <c r="Q50" s="72"/>
      <c r="R50" s="71"/>
      <c r="S50" s="63"/>
      <c r="T50" s="35">
        <f t="shared" si="4"/>
        <v>0</v>
      </c>
      <c r="U50" s="36">
        <f t="shared" si="5"/>
        <v>0</v>
      </c>
      <c r="V50" s="63"/>
      <c r="W50" s="37">
        <f t="shared" si="6"/>
        <v>0</v>
      </c>
      <c r="X50" s="36">
        <f t="shared" si="7"/>
        <v>0</v>
      </c>
      <c r="Y50" s="63"/>
      <c r="Z50" s="63">
        <f t="shared" si="11"/>
        <v>0</v>
      </c>
      <c r="AA50" s="63">
        <v>0</v>
      </c>
      <c r="AB50" s="63">
        <f t="array" ref="AB50">SUM(IF($A$30:$A$149&gt;$B$11,IF($O$30:$O$149="",0,1),0))</f>
        <v>0</v>
      </c>
      <c r="AC50" s="63" t="s">
        <v>59</v>
      </c>
    </row>
    <row r="51" spans="1:44" x14ac:dyDescent="0.35">
      <c r="A51" s="38">
        <v>22</v>
      </c>
      <c r="B51" s="12"/>
      <c r="C51" s="13"/>
      <c r="D51" s="10">
        <f t="shared" si="8"/>
        <v>0</v>
      </c>
      <c r="E51" s="11">
        <f t="shared" si="1"/>
        <v>0</v>
      </c>
      <c r="F51" s="11">
        <f t="shared" si="2"/>
        <v>0</v>
      </c>
      <c r="G51" s="11"/>
      <c r="H51" s="63"/>
      <c r="I51" s="13"/>
      <c r="J51" s="13"/>
      <c r="K51" s="34">
        <f t="shared" si="3"/>
        <v>0</v>
      </c>
      <c r="L51" s="34"/>
      <c r="M51" s="63">
        <v>22</v>
      </c>
      <c r="N51" s="42"/>
      <c r="O51" s="72"/>
      <c r="P51" s="72"/>
      <c r="Q51" s="72"/>
      <c r="R51" s="71"/>
      <c r="S51" s="63"/>
      <c r="T51" s="35">
        <f t="shared" si="4"/>
        <v>0</v>
      </c>
      <c r="U51" s="36">
        <f t="shared" si="5"/>
        <v>0</v>
      </c>
      <c r="V51" s="63"/>
      <c r="W51" s="37">
        <f t="shared" si="6"/>
        <v>0</v>
      </c>
      <c r="X51" s="36">
        <f t="shared" si="7"/>
        <v>0</v>
      </c>
      <c r="Y51" s="63"/>
      <c r="Z51" s="63">
        <f t="shared" si="11"/>
        <v>0</v>
      </c>
      <c r="AA51" s="63">
        <v>0</v>
      </c>
      <c r="AB51" s="63">
        <f t="array" ref="AB51">SUM(IF($A$30:$A$149&gt;$B$11,IF($P$30:$P$149="",0,1),0))</f>
        <v>0</v>
      </c>
      <c r="AC51" s="63" t="s">
        <v>59</v>
      </c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</row>
    <row r="52" spans="1:44" x14ac:dyDescent="0.35">
      <c r="A52" s="38">
        <v>23</v>
      </c>
      <c r="B52" s="12"/>
      <c r="C52" s="13"/>
      <c r="D52" s="10">
        <f t="shared" si="8"/>
        <v>0</v>
      </c>
      <c r="E52" s="11">
        <f t="shared" si="1"/>
        <v>0</v>
      </c>
      <c r="F52" s="11">
        <f t="shared" si="2"/>
        <v>0</v>
      </c>
      <c r="G52" s="11"/>
      <c r="H52" s="63"/>
      <c r="I52" s="13"/>
      <c r="J52" s="13"/>
      <c r="K52" s="34">
        <f t="shared" si="3"/>
        <v>0</v>
      </c>
      <c r="L52" s="34"/>
      <c r="M52" s="63">
        <v>23</v>
      </c>
      <c r="N52" s="42"/>
      <c r="O52" s="72"/>
      <c r="P52" s="72"/>
      <c r="Q52" s="72"/>
      <c r="R52" s="71"/>
      <c r="S52" s="63"/>
      <c r="T52" s="35">
        <f t="shared" si="4"/>
        <v>0</v>
      </c>
      <c r="U52" s="36">
        <f t="shared" si="5"/>
        <v>0</v>
      </c>
      <c r="V52" s="63"/>
      <c r="W52" s="37">
        <f t="shared" si="6"/>
        <v>0</v>
      </c>
      <c r="X52" s="36">
        <f t="shared" si="7"/>
        <v>0</v>
      </c>
      <c r="Y52" s="63"/>
      <c r="Z52" s="63">
        <f t="shared" si="11"/>
        <v>0</v>
      </c>
      <c r="AA52" s="63">
        <v>0</v>
      </c>
      <c r="AB52" s="63">
        <f t="array" ref="AB52">SUM(IF($A$30:$A$149&gt;$B$11,IF($Q$30:$Q$149="",0,1),0))</f>
        <v>0</v>
      </c>
      <c r="AC52" s="63" t="s">
        <v>59</v>
      </c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</row>
    <row r="53" spans="1:44" x14ac:dyDescent="0.35">
      <c r="A53" s="38">
        <v>24</v>
      </c>
      <c r="B53" s="12"/>
      <c r="C53" s="13"/>
      <c r="D53" s="10">
        <f t="shared" si="8"/>
        <v>0</v>
      </c>
      <c r="E53" s="11">
        <f t="shared" si="1"/>
        <v>0</v>
      </c>
      <c r="F53" s="11">
        <f t="shared" si="2"/>
        <v>0</v>
      </c>
      <c r="G53" s="11"/>
      <c r="H53" s="63"/>
      <c r="I53" s="13"/>
      <c r="J53" s="13"/>
      <c r="K53" s="34">
        <f t="shared" si="3"/>
        <v>0</v>
      </c>
      <c r="L53" s="34"/>
      <c r="M53" s="63">
        <v>24</v>
      </c>
      <c r="N53" s="42"/>
      <c r="O53" s="72"/>
      <c r="P53" s="72"/>
      <c r="Q53" s="72"/>
      <c r="R53" s="71"/>
      <c r="S53" s="63"/>
      <c r="T53" s="35">
        <f t="shared" si="4"/>
        <v>0</v>
      </c>
      <c r="U53" s="36">
        <f t="shared" si="5"/>
        <v>0</v>
      </c>
      <c r="V53" s="63"/>
      <c r="W53" s="37">
        <f t="shared" si="6"/>
        <v>0</v>
      </c>
      <c r="X53" s="36">
        <f t="shared" si="7"/>
        <v>0</v>
      </c>
      <c r="Y53" s="63"/>
      <c r="Z53" s="63">
        <f t="shared" si="11"/>
        <v>0</v>
      </c>
      <c r="AA53" s="63">
        <f>SUM(AB49:AB53)</f>
        <v>0</v>
      </c>
      <c r="AB53" s="63">
        <f t="array" ref="AB53">SUM(IF($A$30:$A$149&gt;$B$11,IF($R$30:$R$149="",0,1),0))</f>
        <v>0</v>
      </c>
      <c r="AC53" s="63" t="s">
        <v>59</v>
      </c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</row>
    <row r="54" spans="1:44" x14ac:dyDescent="0.35">
      <c r="A54" s="38">
        <v>25</v>
      </c>
      <c r="B54" s="12"/>
      <c r="C54" s="13"/>
      <c r="D54" s="10">
        <f t="shared" si="8"/>
        <v>0</v>
      </c>
      <c r="E54" s="11">
        <f t="shared" si="1"/>
        <v>0</v>
      </c>
      <c r="F54" s="11">
        <f t="shared" si="2"/>
        <v>0</v>
      </c>
      <c r="G54" s="11"/>
      <c r="H54" s="63"/>
      <c r="I54" s="13"/>
      <c r="J54" s="13"/>
      <c r="K54" s="34">
        <f t="shared" si="3"/>
        <v>0</v>
      </c>
      <c r="L54" s="34"/>
      <c r="M54" s="63">
        <v>25</v>
      </c>
      <c r="N54" s="42"/>
      <c r="O54" s="72"/>
      <c r="P54" s="72"/>
      <c r="Q54" s="72"/>
      <c r="R54" s="71"/>
      <c r="S54" s="63"/>
      <c r="T54" s="35">
        <f t="shared" si="4"/>
        <v>0</v>
      </c>
      <c r="U54" s="36">
        <f t="shared" si="5"/>
        <v>0</v>
      </c>
      <c r="V54" s="63"/>
      <c r="W54" s="37">
        <f t="shared" si="6"/>
        <v>0</v>
      </c>
      <c r="X54" s="36">
        <f t="shared" si="7"/>
        <v>0</v>
      </c>
      <c r="Y54" s="63"/>
      <c r="Z54" s="63">
        <f t="shared" si="11"/>
        <v>1</v>
      </c>
      <c r="AA54" s="63">
        <f>AB54</f>
        <v>1</v>
      </c>
      <c r="AB54" s="63">
        <f>IF(AND(B7="PU",B17=1),0,IF(AND(B7="PM",B17=B11),0,IF(AND(B7="PP",B17&gt;1,B17&lt;=B11),0,1)))</f>
        <v>1</v>
      </c>
      <c r="AC54" s="63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</row>
    <row r="55" spans="1:44" x14ac:dyDescent="0.35">
      <c r="A55" s="38">
        <v>26</v>
      </c>
      <c r="B55" s="12"/>
      <c r="C55" s="13"/>
      <c r="D55" s="10">
        <f t="shared" si="8"/>
        <v>0</v>
      </c>
      <c r="E55" s="11">
        <f t="shared" si="1"/>
        <v>0</v>
      </c>
      <c r="F55" s="11">
        <f t="shared" si="2"/>
        <v>0</v>
      </c>
      <c r="G55" s="11"/>
      <c r="H55" s="63"/>
      <c r="I55" s="13"/>
      <c r="J55" s="13"/>
      <c r="K55" s="34">
        <f t="shared" si="3"/>
        <v>0</v>
      </c>
      <c r="L55" s="34"/>
      <c r="M55" s="63">
        <v>26</v>
      </c>
      <c r="N55" s="42"/>
      <c r="O55" s="72"/>
      <c r="P55" s="72"/>
      <c r="Q55" s="72"/>
      <c r="R55" s="71"/>
      <c r="S55" s="63"/>
      <c r="T55" s="35">
        <f t="shared" si="4"/>
        <v>0</v>
      </c>
      <c r="U55" s="36">
        <f t="shared" si="5"/>
        <v>0</v>
      </c>
      <c r="V55" s="63"/>
      <c r="W55" s="37">
        <f t="shared" si="6"/>
        <v>0</v>
      </c>
      <c r="X55" s="36">
        <f t="shared" si="7"/>
        <v>0</v>
      </c>
      <c r="Y55" s="63"/>
      <c r="Z55" s="63">
        <f t="shared" si="11"/>
        <v>0</v>
      </c>
      <c r="AA55" s="63">
        <f>AB55</f>
        <v>0</v>
      </c>
      <c r="AB55" s="63">
        <f t="array" ref="AB55">COUNT(IF(Dados!$N$30:$R$149&lt;0,Dados!$N$30:$R$149,""),"")</f>
        <v>0</v>
      </c>
      <c r="AC55" s="63" t="s">
        <v>60</v>
      </c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</row>
    <row r="56" spans="1:44" x14ac:dyDescent="0.35">
      <c r="A56" s="38">
        <v>27</v>
      </c>
      <c r="B56" s="12"/>
      <c r="C56" s="13"/>
      <c r="D56" s="10">
        <f t="shared" si="8"/>
        <v>0</v>
      </c>
      <c r="E56" s="11">
        <f t="shared" si="1"/>
        <v>0</v>
      </c>
      <c r="F56" s="11">
        <f t="shared" si="2"/>
        <v>0</v>
      </c>
      <c r="G56" s="11"/>
      <c r="H56" s="63"/>
      <c r="I56" s="13"/>
      <c r="J56" s="13"/>
      <c r="K56" s="34">
        <f t="shared" si="3"/>
        <v>0</v>
      </c>
      <c r="L56" s="34"/>
      <c r="M56" s="63">
        <v>27</v>
      </c>
      <c r="N56" s="42"/>
      <c r="O56" s="72"/>
      <c r="P56" s="72"/>
      <c r="Q56" s="72"/>
      <c r="R56" s="71"/>
      <c r="S56" s="63"/>
      <c r="T56" s="35">
        <f t="shared" si="4"/>
        <v>0</v>
      </c>
      <c r="U56" s="36">
        <f t="shared" si="5"/>
        <v>0</v>
      </c>
      <c r="V56" s="63"/>
      <c r="W56" s="37">
        <f t="shared" si="6"/>
        <v>0</v>
      </c>
      <c r="X56" s="36">
        <f t="shared" si="7"/>
        <v>0</v>
      </c>
      <c r="Y56" s="63"/>
      <c r="Z56" s="63">
        <f t="shared" ref="Z56:Z57" si="12">IF(AA56&gt;0,1,0)</f>
        <v>0</v>
      </c>
      <c r="AA56" s="63">
        <f>SUM(AB56:AB59)</f>
        <v>0</v>
      </c>
      <c r="AB56" s="60">
        <f t="array" ref="AB56">SUM(IF(N(ISNUMBER(IF(IF(N(ISBLANK($B$30:$C$149)),$B$30:$C$149,1)=1,$B$30:$C$149,0)))=0,1,0))</f>
        <v>0</v>
      </c>
      <c r="AC56" s="60" t="s">
        <v>61</v>
      </c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</row>
    <row r="57" spans="1:44" x14ac:dyDescent="0.35">
      <c r="A57" s="38">
        <v>28</v>
      </c>
      <c r="B57" s="12"/>
      <c r="C57" s="13"/>
      <c r="D57" s="10">
        <f t="shared" si="8"/>
        <v>0</v>
      </c>
      <c r="E57" s="11">
        <f t="shared" si="1"/>
        <v>0</v>
      </c>
      <c r="F57" s="11">
        <f t="shared" si="2"/>
        <v>0</v>
      </c>
      <c r="G57" s="11"/>
      <c r="H57" s="63"/>
      <c r="I57" s="13"/>
      <c r="J57" s="13"/>
      <c r="K57" s="34">
        <f t="shared" si="3"/>
        <v>0</v>
      </c>
      <c r="L57" s="34"/>
      <c r="M57" s="63">
        <v>28</v>
      </c>
      <c r="N57" s="42"/>
      <c r="O57" s="72"/>
      <c r="P57" s="72"/>
      <c r="Q57" s="72"/>
      <c r="R57" s="71"/>
      <c r="S57" s="63"/>
      <c r="T57" s="35">
        <f t="shared" si="4"/>
        <v>0</v>
      </c>
      <c r="U57" s="36">
        <f t="shared" si="5"/>
        <v>0</v>
      </c>
      <c r="V57" s="63"/>
      <c r="W57" s="37">
        <f t="shared" si="6"/>
        <v>0</v>
      </c>
      <c r="X57" s="36">
        <f t="shared" si="7"/>
        <v>0</v>
      </c>
      <c r="Y57" s="63"/>
      <c r="Z57" s="63">
        <f t="shared" si="12"/>
        <v>0</v>
      </c>
      <c r="AA57" s="63">
        <v>0</v>
      </c>
      <c r="AB57" s="60">
        <f t="array" ref="AB57">SUM(IF(N(ISNUMBER(IF(IF(N(ISBLANK($I$30:$J$149)),$I$30:$J$149,1)=1,$I$30:$J$149,0)))=0,1,0))</f>
        <v>0</v>
      </c>
      <c r="AC57" s="60" t="s">
        <v>61</v>
      </c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</row>
    <row r="58" spans="1:44" x14ac:dyDescent="0.35">
      <c r="A58" s="38">
        <v>29</v>
      </c>
      <c r="B58" s="12"/>
      <c r="C58" s="13"/>
      <c r="D58" s="10">
        <f t="shared" si="8"/>
        <v>0</v>
      </c>
      <c r="E58" s="11">
        <f t="shared" si="1"/>
        <v>0</v>
      </c>
      <c r="F58" s="11">
        <f t="shared" si="2"/>
        <v>0</v>
      </c>
      <c r="G58" s="11"/>
      <c r="H58" s="63"/>
      <c r="I58" s="13"/>
      <c r="J58" s="13"/>
      <c r="K58" s="34">
        <f t="shared" si="3"/>
        <v>0</v>
      </c>
      <c r="L58" s="34"/>
      <c r="M58" s="63">
        <v>29</v>
      </c>
      <c r="N58" s="42"/>
      <c r="O58" s="72"/>
      <c r="P58" s="72"/>
      <c r="Q58" s="72"/>
      <c r="R58" s="71"/>
      <c r="S58" s="63"/>
      <c r="T58" s="35">
        <f t="shared" si="4"/>
        <v>0</v>
      </c>
      <c r="U58" s="36">
        <f t="shared" si="5"/>
        <v>0</v>
      </c>
      <c r="V58" s="63"/>
      <c r="W58" s="37">
        <f t="shared" si="6"/>
        <v>0</v>
      </c>
      <c r="X58" s="36">
        <f t="shared" si="7"/>
        <v>0</v>
      </c>
      <c r="Y58" s="63"/>
      <c r="Z58" s="63">
        <f>IF(AA58&gt;0,1,0)</f>
        <v>0</v>
      </c>
      <c r="AA58" s="63">
        <v>0</v>
      </c>
      <c r="AB58" s="63">
        <f t="array" ref="AB58">SUM(IF(N(ISNUMBER(IF(IF(N(ISBLANK($N$30:$R$149)),$N$30:$R$149,1)=1,$N$30:$R$149,0)))=0,1,0))</f>
        <v>0</v>
      </c>
      <c r="AC58" s="60" t="s">
        <v>61</v>
      </c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</row>
    <row r="59" spans="1:44" x14ac:dyDescent="0.35">
      <c r="A59" s="38">
        <v>30</v>
      </c>
      <c r="B59" s="12"/>
      <c r="C59" s="13"/>
      <c r="D59" s="10">
        <f t="shared" si="8"/>
        <v>0</v>
      </c>
      <c r="E59" s="11">
        <f t="shared" si="1"/>
        <v>0</v>
      </c>
      <c r="F59" s="11">
        <f t="shared" si="2"/>
        <v>0</v>
      </c>
      <c r="G59" s="11"/>
      <c r="H59" s="63"/>
      <c r="I59" s="13"/>
      <c r="J59" s="13"/>
      <c r="K59" s="34">
        <f t="shared" si="3"/>
        <v>0</v>
      </c>
      <c r="L59" s="34"/>
      <c r="M59" s="63">
        <v>30</v>
      </c>
      <c r="N59" s="42"/>
      <c r="O59" s="72"/>
      <c r="P59" s="72"/>
      <c r="Q59" s="72"/>
      <c r="R59" s="71"/>
      <c r="S59" s="63"/>
      <c r="T59" s="35">
        <f t="shared" si="4"/>
        <v>0</v>
      </c>
      <c r="U59" s="36">
        <f t="shared" si="5"/>
        <v>0</v>
      </c>
      <c r="V59" s="63"/>
      <c r="W59" s="37">
        <f t="shared" si="6"/>
        <v>0</v>
      </c>
      <c r="X59" s="36">
        <f t="shared" si="7"/>
        <v>0</v>
      </c>
      <c r="Y59" s="63"/>
      <c r="Z59" s="63">
        <f>IF(AA59&gt;0,1,0)</f>
        <v>0</v>
      </c>
      <c r="AA59" s="63">
        <v>0</v>
      </c>
      <c r="AB59" s="63">
        <f t="array" ref="AB59">SUM(IF(N(ISNUMBER(IF(IF(N(ISBLANK($B$11:$B$17)),$B$11:$B$17,1)=1,$B$11:$B$17,0)))=0,1,0))</f>
        <v>0</v>
      </c>
      <c r="AC59" s="60" t="s">
        <v>61</v>
      </c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</row>
    <row r="60" spans="1:44" x14ac:dyDescent="0.35">
      <c r="A60" s="38">
        <v>31</v>
      </c>
      <c r="B60" s="12"/>
      <c r="C60" s="13"/>
      <c r="D60" s="10">
        <f t="shared" si="8"/>
        <v>0</v>
      </c>
      <c r="E60" s="11">
        <f t="shared" si="1"/>
        <v>0</v>
      </c>
      <c r="F60" s="11">
        <f t="shared" si="2"/>
        <v>0</v>
      </c>
      <c r="G60" s="11"/>
      <c r="H60" s="63"/>
      <c r="I60" s="13"/>
      <c r="J60" s="13"/>
      <c r="K60" s="34">
        <f t="shared" si="3"/>
        <v>0</v>
      </c>
      <c r="L60" s="34"/>
      <c r="M60" s="63">
        <v>31</v>
      </c>
      <c r="N60" s="42"/>
      <c r="O60" s="72"/>
      <c r="P60" s="72"/>
      <c r="Q60" s="72"/>
      <c r="R60" s="71"/>
      <c r="S60" s="63"/>
      <c r="T60" s="35">
        <f t="shared" si="4"/>
        <v>0</v>
      </c>
      <c r="U60" s="36">
        <f t="shared" si="5"/>
        <v>0</v>
      </c>
      <c r="V60" s="63"/>
      <c r="W60" s="37">
        <f t="shared" si="6"/>
        <v>0</v>
      </c>
      <c r="X60" s="36">
        <f t="shared" si="7"/>
        <v>0</v>
      </c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</row>
    <row r="61" spans="1:44" x14ac:dyDescent="0.35">
      <c r="A61" s="38">
        <v>32</v>
      </c>
      <c r="B61" s="12"/>
      <c r="C61" s="13"/>
      <c r="D61" s="10">
        <f t="shared" si="8"/>
        <v>0</v>
      </c>
      <c r="E61" s="11">
        <f t="shared" si="1"/>
        <v>0</v>
      </c>
      <c r="F61" s="11">
        <f t="shared" si="2"/>
        <v>0</v>
      </c>
      <c r="G61" s="11"/>
      <c r="H61" s="63"/>
      <c r="I61" s="13"/>
      <c r="J61" s="13"/>
      <c r="K61" s="34">
        <f t="shared" si="3"/>
        <v>0</v>
      </c>
      <c r="L61" s="34"/>
      <c r="M61" s="63">
        <v>32</v>
      </c>
      <c r="N61" s="42"/>
      <c r="O61" s="72"/>
      <c r="P61" s="72"/>
      <c r="Q61" s="72"/>
      <c r="R61" s="71"/>
      <c r="S61" s="63"/>
      <c r="T61" s="35">
        <f t="shared" si="4"/>
        <v>0</v>
      </c>
      <c r="U61" s="36">
        <f t="shared" si="5"/>
        <v>0</v>
      </c>
      <c r="V61" s="63"/>
      <c r="W61" s="37">
        <f t="shared" si="6"/>
        <v>0</v>
      </c>
      <c r="X61" s="36">
        <f t="shared" si="7"/>
        <v>0</v>
      </c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</row>
    <row r="62" spans="1:44" x14ac:dyDescent="0.35">
      <c r="A62" s="38">
        <v>33</v>
      </c>
      <c r="B62" s="12"/>
      <c r="C62" s="13"/>
      <c r="D62" s="10">
        <f t="shared" si="8"/>
        <v>0</v>
      </c>
      <c r="E62" s="11">
        <f t="shared" ref="E62:E93" si="13">IF(A62&lt;=$B$11,D62*C62/IF(A62&lt;=$B$17,A62,$B$17),0)</f>
        <v>0</v>
      </c>
      <c r="F62" s="11">
        <f t="shared" ref="F62:F93" si="14">IF(A62&lt;=$B$11,IF(OR($B$7="PM",$B$7="PP",$B$6="Popular"),MAX(50%,E62),E62),0)</f>
        <v>0</v>
      </c>
      <c r="G62" s="11"/>
      <c r="H62" s="63"/>
      <c r="I62" s="13"/>
      <c r="J62" s="13"/>
      <c r="K62" s="34">
        <f t="shared" ref="K62:K93" si="15">J62+I62+B62</f>
        <v>0</v>
      </c>
      <c r="L62" s="34"/>
      <c r="M62" s="63">
        <v>33</v>
      </c>
      <c r="N62" s="42"/>
      <c r="O62" s="72"/>
      <c r="P62" s="72"/>
      <c r="Q62" s="72"/>
      <c r="R62" s="71"/>
      <c r="S62" s="63"/>
      <c r="T62" s="35">
        <f t="shared" ref="T62:T93" si="16">I62*$B$12</f>
        <v>0</v>
      </c>
      <c r="U62" s="36">
        <f t="shared" ref="U62:U93" si="17">$T62*(B$14+1)^-($A62-1)</f>
        <v>0</v>
      </c>
      <c r="V62" s="63"/>
      <c r="W62" s="37">
        <f t="shared" ref="W62:W93" si="18">N62+O62+P62+Q62+R62</f>
        <v>0</v>
      </c>
      <c r="X62" s="36">
        <f t="shared" ref="X62:X93" si="19">$W62*(B$14+1)^-($A62-1)</f>
        <v>0</v>
      </c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</row>
    <row r="63" spans="1:44" x14ac:dyDescent="0.35">
      <c r="A63" s="38">
        <v>34</v>
      </c>
      <c r="B63" s="12"/>
      <c r="C63" s="13"/>
      <c r="D63" s="10">
        <f t="shared" ref="D63:D94" si="20">IF(A63&lt;=$B$11,(D62 + B63)*(1+$B$13),0)</f>
        <v>0</v>
      </c>
      <c r="E63" s="11">
        <f t="shared" si="13"/>
        <v>0</v>
      </c>
      <c r="F63" s="11">
        <f t="shared" si="14"/>
        <v>0</v>
      </c>
      <c r="G63" s="11"/>
      <c r="H63" s="63"/>
      <c r="I63" s="13"/>
      <c r="J63" s="13"/>
      <c r="K63" s="34">
        <f t="shared" si="15"/>
        <v>0</v>
      </c>
      <c r="L63" s="34"/>
      <c r="M63" s="63">
        <v>34</v>
      </c>
      <c r="N63" s="42"/>
      <c r="O63" s="72"/>
      <c r="P63" s="72"/>
      <c r="Q63" s="72"/>
      <c r="R63" s="71"/>
      <c r="S63" s="63"/>
      <c r="T63" s="35">
        <f t="shared" si="16"/>
        <v>0</v>
      </c>
      <c r="U63" s="36">
        <f t="shared" si="17"/>
        <v>0</v>
      </c>
      <c r="V63" s="63"/>
      <c r="W63" s="37">
        <f t="shared" si="18"/>
        <v>0</v>
      </c>
      <c r="X63" s="36">
        <f t="shared" si="19"/>
        <v>0</v>
      </c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</row>
    <row r="64" spans="1:44" x14ac:dyDescent="0.35">
      <c r="A64" s="38">
        <v>35</v>
      </c>
      <c r="B64" s="12"/>
      <c r="C64" s="13"/>
      <c r="D64" s="10">
        <f t="shared" si="20"/>
        <v>0</v>
      </c>
      <c r="E64" s="11">
        <f t="shared" si="13"/>
        <v>0</v>
      </c>
      <c r="F64" s="11">
        <f t="shared" si="14"/>
        <v>0</v>
      </c>
      <c r="G64" s="11"/>
      <c r="H64" s="63"/>
      <c r="I64" s="13"/>
      <c r="J64" s="13"/>
      <c r="K64" s="34">
        <f t="shared" si="15"/>
        <v>0</v>
      </c>
      <c r="L64" s="34"/>
      <c r="M64" s="63">
        <v>35</v>
      </c>
      <c r="N64" s="42"/>
      <c r="O64" s="72"/>
      <c r="P64" s="72"/>
      <c r="Q64" s="72"/>
      <c r="R64" s="71"/>
      <c r="S64" s="63"/>
      <c r="T64" s="35">
        <f t="shared" si="16"/>
        <v>0</v>
      </c>
      <c r="U64" s="36">
        <f t="shared" si="17"/>
        <v>0</v>
      </c>
      <c r="V64" s="63"/>
      <c r="W64" s="37">
        <f t="shared" si="18"/>
        <v>0</v>
      </c>
      <c r="X64" s="36">
        <f t="shared" si="19"/>
        <v>0</v>
      </c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</row>
    <row r="65" spans="1:44" x14ac:dyDescent="0.35">
      <c r="A65" s="38">
        <v>36</v>
      </c>
      <c r="B65" s="12"/>
      <c r="C65" s="13"/>
      <c r="D65" s="10">
        <f t="shared" si="20"/>
        <v>0</v>
      </c>
      <c r="E65" s="11">
        <f t="shared" si="13"/>
        <v>0</v>
      </c>
      <c r="F65" s="11">
        <f t="shared" si="14"/>
        <v>0</v>
      </c>
      <c r="G65" s="11"/>
      <c r="H65" s="63"/>
      <c r="I65" s="13"/>
      <c r="J65" s="13"/>
      <c r="K65" s="34">
        <f t="shared" si="15"/>
        <v>0</v>
      </c>
      <c r="L65" s="34"/>
      <c r="M65" s="63">
        <v>36</v>
      </c>
      <c r="N65" s="42"/>
      <c r="O65" s="72"/>
      <c r="P65" s="72"/>
      <c r="Q65" s="72"/>
      <c r="R65" s="71"/>
      <c r="S65" s="63"/>
      <c r="T65" s="35">
        <f t="shared" si="16"/>
        <v>0</v>
      </c>
      <c r="U65" s="36">
        <f t="shared" si="17"/>
        <v>0</v>
      </c>
      <c r="V65" s="63"/>
      <c r="W65" s="37">
        <f t="shared" si="18"/>
        <v>0</v>
      </c>
      <c r="X65" s="36">
        <f t="shared" si="19"/>
        <v>0</v>
      </c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</row>
    <row r="66" spans="1:44" x14ac:dyDescent="0.35">
      <c r="A66" s="38">
        <v>37</v>
      </c>
      <c r="B66" s="12"/>
      <c r="C66" s="13"/>
      <c r="D66" s="10">
        <f t="shared" si="20"/>
        <v>0</v>
      </c>
      <c r="E66" s="11">
        <f t="shared" si="13"/>
        <v>0</v>
      </c>
      <c r="F66" s="11">
        <f t="shared" si="14"/>
        <v>0</v>
      </c>
      <c r="G66" s="11"/>
      <c r="H66" s="63"/>
      <c r="I66" s="13"/>
      <c r="J66" s="13"/>
      <c r="K66" s="34">
        <f t="shared" si="15"/>
        <v>0</v>
      </c>
      <c r="L66" s="34"/>
      <c r="M66" s="63">
        <v>37</v>
      </c>
      <c r="N66" s="42"/>
      <c r="O66" s="72"/>
      <c r="P66" s="72"/>
      <c r="Q66" s="72"/>
      <c r="R66" s="71"/>
      <c r="S66" s="63"/>
      <c r="T66" s="35">
        <f t="shared" si="16"/>
        <v>0</v>
      </c>
      <c r="U66" s="36">
        <f t="shared" si="17"/>
        <v>0</v>
      </c>
      <c r="V66" s="63"/>
      <c r="W66" s="37">
        <f t="shared" si="18"/>
        <v>0</v>
      </c>
      <c r="X66" s="36">
        <f t="shared" si="19"/>
        <v>0</v>
      </c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</row>
    <row r="67" spans="1:44" x14ac:dyDescent="0.35">
      <c r="A67" s="38">
        <v>38</v>
      </c>
      <c r="B67" s="12"/>
      <c r="C67" s="13"/>
      <c r="D67" s="10">
        <f t="shared" si="20"/>
        <v>0</v>
      </c>
      <c r="E67" s="11">
        <f t="shared" si="13"/>
        <v>0</v>
      </c>
      <c r="F67" s="11">
        <f t="shared" si="14"/>
        <v>0</v>
      </c>
      <c r="G67" s="11"/>
      <c r="H67" s="63"/>
      <c r="I67" s="13"/>
      <c r="J67" s="13"/>
      <c r="K67" s="34">
        <f t="shared" si="15"/>
        <v>0</v>
      </c>
      <c r="L67" s="34"/>
      <c r="M67" s="63">
        <v>38</v>
      </c>
      <c r="N67" s="42"/>
      <c r="O67" s="72"/>
      <c r="P67" s="72"/>
      <c r="Q67" s="72"/>
      <c r="R67" s="71"/>
      <c r="S67" s="63"/>
      <c r="T67" s="35">
        <f t="shared" si="16"/>
        <v>0</v>
      </c>
      <c r="U67" s="36">
        <f t="shared" si="17"/>
        <v>0</v>
      </c>
      <c r="V67" s="63"/>
      <c r="W67" s="37">
        <f t="shared" si="18"/>
        <v>0</v>
      </c>
      <c r="X67" s="36">
        <f t="shared" si="19"/>
        <v>0</v>
      </c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1:44" x14ac:dyDescent="0.35">
      <c r="A68" s="38">
        <v>39</v>
      </c>
      <c r="B68" s="12"/>
      <c r="C68" s="13"/>
      <c r="D68" s="10">
        <f t="shared" si="20"/>
        <v>0</v>
      </c>
      <c r="E68" s="11">
        <f t="shared" si="13"/>
        <v>0</v>
      </c>
      <c r="F68" s="11">
        <f t="shared" si="14"/>
        <v>0</v>
      </c>
      <c r="G68" s="11"/>
      <c r="H68" s="63"/>
      <c r="I68" s="13"/>
      <c r="J68" s="13"/>
      <c r="K68" s="34">
        <f t="shared" si="15"/>
        <v>0</v>
      </c>
      <c r="L68" s="34"/>
      <c r="M68" s="63">
        <v>39</v>
      </c>
      <c r="N68" s="42"/>
      <c r="O68" s="72"/>
      <c r="P68" s="72"/>
      <c r="Q68" s="72"/>
      <c r="R68" s="71"/>
      <c r="S68" s="63"/>
      <c r="T68" s="35">
        <f t="shared" si="16"/>
        <v>0</v>
      </c>
      <c r="U68" s="36">
        <f t="shared" si="17"/>
        <v>0</v>
      </c>
      <c r="V68" s="63"/>
      <c r="W68" s="37">
        <f t="shared" si="18"/>
        <v>0</v>
      </c>
      <c r="X68" s="36">
        <f t="shared" si="19"/>
        <v>0</v>
      </c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1:44" x14ac:dyDescent="0.35">
      <c r="A69" s="38">
        <v>40</v>
      </c>
      <c r="B69" s="12"/>
      <c r="C69" s="13"/>
      <c r="D69" s="10">
        <f t="shared" si="20"/>
        <v>0</v>
      </c>
      <c r="E69" s="11">
        <f t="shared" si="13"/>
        <v>0</v>
      </c>
      <c r="F69" s="11">
        <f t="shared" si="14"/>
        <v>0</v>
      </c>
      <c r="G69" s="11"/>
      <c r="H69" s="63"/>
      <c r="I69" s="13"/>
      <c r="J69" s="13"/>
      <c r="K69" s="34">
        <f t="shared" si="15"/>
        <v>0</v>
      </c>
      <c r="L69" s="34"/>
      <c r="M69" s="63">
        <v>40</v>
      </c>
      <c r="N69" s="42"/>
      <c r="O69" s="72"/>
      <c r="P69" s="72"/>
      <c r="Q69" s="72"/>
      <c r="R69" s="71"/>
      <c r="S69" s="63"/>
      <c r="T69" s="35">
        <f t="shared" si="16"/>
        <v>0</v>
      </c>
      <c r="U69" s="36">
        <f t="shared" si="17"/>
        <v>0</v>
      </c>
      <c r="V69" s="63"/>
      <c r="W69" s="37">
        <f t="shared" si="18"/>
        <v>0</v>
      </c>
      <c r="X69" s="36">
        <f t="shared" si="19"/>
        <v>0</v>
      </c>
      <c r="Y69" s="63"/>
      <c r="Z69" s="63"/>
      <c r="AA69" s="63"/>
      <c r="AB69" s="63"/>
      <c r="AC69" s="98" t="s">
        <v>62</v>
      </c>
      <c r="AD69" s="99"/>
      <c r="AE69" s="99"/>
      <c r="AF69" s="99"/>
      <c r="AG69" s="99"/>
      <c r="AH69" s="100"/>
    </row>
    <row r="70" spans="1:44" ht="16.5" customHeight="1" x14ac:dyDescent="0.35">
      <c r="A70" s="38">
        <v>41</v>
      </c>
      <c r="B70" s="12"/>
      <c r="C70" s="13"/>
      <c r="D70" s="10">
        <f t="shared" si="20"/>
        <v>0</v>
      </c>
      <c r="E70" s="11">
        <f t="shared" si="13"/>
        <v>0</v>
      </c>
      <c r="F70" s="11">
        <f t="shared" si="14"/>
        <v>0</v>
      </c>
      <c r="G70" s="11"/>
      <c r="H70" s="63"/>
      <c r="I70" s="13"/>
      <c r="J70" s="13"/>
      <c r="K70" s="34">
        <f t="shared" si="15"/>
        <v>0</v>
      </c>
      <c r="L70" s="34"/>
      <c r="M70" s="63">
        <v>41</v>
      </c>
      <c r="N70" s="42"/>
      <c r="O70" s="72"/>
      <c r="P70" s="72"/>
      <c r="Q70" s="72"/>
      <c r="R70" s="71"/>
      <c r="S70" s="63"/>
      <c r="T70" s="35">
        <f t="shared" si="16"/>
        <v>0</v>
      </c>
      <c r="U70" s="36">
        <f t="shared" si="17"/>
        <v>0</v>
      </c>
      <c r="V70" s="63"/>
      <c r="W70" s="37">
        <f t="shared" si="18"/>
        <v>0</v>
      </c>
      <c r="X70" s="36">
        <f t="shared" si="19"/>
        <v>0</v>
      </c>
      <c r="Y70" s="63"/>
      <c r="Z70" s="63"/>
      <c r="AA70" s="63"/>
      <c r="AB70" s="63"/>
      <c r="AC70" s="48" t="s">
        <v>63</v>
      </c>
      <c r="AD70" s="49"/>
      <c r="AE70" s="47" t="s">
        <v>64</v>
      </c>
      <c r="AF70" s="49"/>
      <c r="AG70" s="49"/>
      <c r="AH70" s="50"/>
    </row>
    <row r="71" spans="1:44" x14ac:dyDescent="0.35">
      <c r="A71" s="38">
        <v>42</v>
      </c>
      <c r="B71" s="12"/>
      <c r="C71" s="13"/>
      <c r="D71" s="10">
        <f t="shared" si="20"/>
        <v>0</v>
      </c>
      <c r="E71" s="11">
        <f t="shared" si="13"/>
        <v>0</v>
      </c>
      <c r="F71" s="11">
        <f t="shared" si="14"/>
        <v>0</v>
      </c>
      <c r="G71" s="11"/>
      <c r="H71" s="63"/>
      <c r="I71" s="13"/>
      <c r="J71" s="13"/>
      <c r="K71" s="34">
        <f t="shared" si="15"/>
        <v>0</v>
      </c>
      <c r="L71" s="34"/>
      <c r="M71" s="63">
        <v>42</v>
      </c>
      <c r="N71" s="42"/>
      <c r="O71" s="72"/>
      <c r="P71" s="72"/>
      <c r="Q71" s="72"/>
      <c r="R71" s="71"/>
      <c r="S71" s="63"/>
      <c r="T71" s="35">
        <f t="shared" si="16"/>
        <v>0</v>
      </c>
      <c r="U71" s="36">
        <f t="shared" si="17"/>
        <v>0</v>
      </c>
      <c r="V71" s="63"/>
      <c r="W71" s="37">
        <f t="shared" si="18"/>
        <v>0</v>
      </c>
      <c r="X71" s="36">
        <f t="shared" si="19"/>
        <v>0</v>
      </c>
      <c r="Y71" s="63"/>
      <c r="Z71" s="63"/>
      <c r="AA71" s="63"/>
      <c r="AB71" s="63"/>
      <c r="AC71" s="51" t="s">
        <v>65</v>
      </c>
      <c r="AD71" s="4" t="e">
        <f t="array" aca="1" ref="AD71" ca="1">IF(AND(OFFSET(Dados!$C$30,0,0,$AH$71)&gt;=90%),0,1)</f>
        <v>#REF!</v>
      </c>
      <c r="AE71" s="46">
        <v>0.9</v>
      </c>
      <c r="AF71" s="4"/>
      <c r="AG71" s="5" t="s">
        <v>66</v>
      </c>
      <c r="AH71" s="44">
        <f>ROUNDDOWN(Dados!$B$11/2,0)</f>
        <v>0</v>
      </c>
    </row>
    <row r="72" spans="1:44" ht="13.15" customHeight="1" x14ac:dyDescent="0.35">
      <c r="A72" s="38">
        <v>43</v>
      </c>
      <c r="B72" s="12"/>
      <c r="C72" s="13"/>
      <c r="D72" s="10">
        <f t="shared" si="20"/>
        <v>0</v>
      </c>
      <c r="E72" s="11">
        <f t="shared" si="13"/>
        <v>0</v>
      </c>
      <c r="F72" s="11">
        <f t="shared" si="14"/>
        <v>0</v>
      </c>
      <c r="G72" s="11"/>
      <c r="H72" s="63"/>
      <c r="I72" s="13"/>
      <c r="J72" s="13"/>
      <c r="K72" s="34">
        <f t="shared" si="15"/>
        <v>0</v>
      </c>
      <c r="L72" s="34"/>
      <c r="M72" s="63">
        <v>43</v>
      </c>
      <c r="N72" s="42"/>
      <c r="O72" s="72"/>
      <c r="P72" s="72"/>
      <c r="Q72" s="72"/>
      <c r="R72" s="71"/>
      <c r="S72" s="63"/>
      <c r="T72" s="35">
        <f t="shared" si="16"/>
        <v>0</v>
      </c>
      <c r="U72" s="36">
        <f t="shared" si="17"/>
        <v>0</v>
      </c>
      <c r="V72" s="63"/>
      <c r="W72" s="37">
        <f t="shared" si="18"/>
        <v>0</v>
      </c>
      <c r="X72" s="36">
        <f t="shared" si="19"/>
        <v>0</v>
      </c>
      <c r="Y72" s="63"/>
      <c r="Z72" s="63"/>
      <c r="AA72" s="63"/>
      <c r="AB72" s="63"/>
      <c r="AC72" s="51" t="s">
        <v>67</v>
      </c>
      <c r="AD72" s="4">
        <f t="array" aca="1" ref="AD72" ca="1">IF(AH72&gt;AH71,IF(AND(OFFSET(Dados!$C$30,$AH$71,0,$AH$72-$AH$71)&gt;=95%),0,1),0)</f>
        <v>0</v>
      </c>
      <c r="AE72" s="43">
        <v>0.95</v>
      </c>
      <c r="AF72" s="4"/>
      <c r="AG72" s="5" t="s">
        <v>68</v>
      </c>
      <c r="AH72" s="44">
        <f>ROUNDDOWN(Dados!$B$11*3/4,0)</f>
        <v>0</v>
      </c>
    </row>
    <row r="73" spans="1:44" x14ac:dyDescent="0.35">
      <c r="A73" s="38">
        <v>44</v>
      </c>
      <c r="B73" s="12"/>
      <c r="C73" s="13"/>
      <c r="D73" s="10">
        <f t="shared" si="20"/>
        <v>0</v>
      </c>
      <c r="E73" s="11">
        <f t="shared" si="13"/>
        <v>0</v>
      </c>
      <c r="F73" s="11">
        <f t="shared" si="14"/>
        <v>0</v>
      </c>
      <c r="G73" s="11"/>
      <c r="H73" s="63"/>
      <c r="I73" s="13"/>
      <c r="J73" s="13"/>
      <c r="K73" s="34">
        <f t="shared" si="15"/>
        <v>0</v>
      </c>
      <c r="L73" s="34"/>
      <c r="M73" s="63">
        <v>44</v>
      </c>
      <c r="N73" s="42"/>
      <c r="O73" s="72"/>
      <c r="P73" s="72"/>
      <c r="Q73" s="72"/>
      <c r="R73" s="71"/>
      <c r="S73" s="63"/>
      <c r="T73" s="35">
        <f t="shared" si="16"/>
        <v>0</v>
      </c>
      <c r="U73" s="36">
        <f t="shared" si="17"/>
        <v>0</v>
      </c>
      <c r="V73" s="63"/>
      <c r="W73" s="37">
        <f t="shared" si="18"/>
        <v>0</v>
      </c>
      <c r="X73" s="36">
        <f t="shared" si="19"/>
        <v>0</v>
      </c>
      <c r="Y73" s="63"/>
      <c r="Z73" s="63"/>
      <c r="AA73" s="63"/>
      <c r="AB73" s="63"/>
      <c r="AC73" s="52" t="s">
        <v>69</v>
      </c>
      <c r="AD73" s="53" t="e">
        <f t="array" aca="1" ref="AD73" ca="1">IF(AND(OFFSET(Dados!$C$30,$AH$72,0,Dados!$B$11-$AH$72)&gt;=100%),0,1)</f>
        <v>#REF!</v>
      </c>
      <c r="AE73" s="54">
        <v>1</v>
      </c>
      <c r="AF73" s="53"/>
      <c r="AG73" s="53"/>
      <c r="AH73" s="55"/>
    </row>
    <row r="74" spans="1:44" x14ac:dyDescent="0.35">
      <c r="A74" s="38">
        <v>45</v>
      </c>
      <c r="B74" s="12"/>
      <c r="C74" s="13"/>
      <c r="D74" s="10">
        <f t="shared" si="20"/>
        <v>0</v>
      </c>
      <c r="E74" s="11">
        <f t="shared" si="13"/>
        <v>0</v>
      </c>
      <c r="F74" s="11">
        <f t="shared" si="14"/>
        <v>0</v>
      </c>
      <c r="G74" s="11"/>
      <c r="H74" s="63"/>
      <c r="I74" s="13"/>
      <c r="J74" s="13"/>
      <c r="K74" s="34">
        <f t="shared" si="15"/>
        <v>0</v>
      </c>
      <c r="L74" s="34"/>
      <c r="M74" s="63">
        <v>45</v>
      </c>
      <c r="N74" s="42"/>
      <c r="O74" s="72"/>
      <c r="P74" s="72"/>
      <c r="Q74" s="72"/>
      <c r="R74" s="71"/>
      <c r="S74" s="63"/>
      <c r="T74" s="35">
        <f t="shared" si="16"/>
        <v>0</v>
      </c>
      <c r="U74" s="36">
        <f t="shared" si="17"/>
        <v>0</v>
      </c>
      <c r="V74" s="63"/>
      <c r="W74" s="37">
        <f t="shared" si="18"/>
        <v>0</v>
      </c>
      <c r="X74" s="36">
        <f t="shared" si="19"/>
        <v>0</v>
      </c>
      <c r="Y74" s="63"/>
      <c r="Z74" s="63"/>
      <c r="AA74" s="63"/>
      <c r="AB74" s="63"/>
      <c r="AC74"/>
      <c r="AD74"/>
      <c r="AE74"/>
      <c r="AF74"/>
      <c r="AG74"/>
      <c r="AH74"/>
    </row>
    <row r="75" spans="1:44" x14ac:dyDescent="0.35">
      <c r="A75" s="38">
        <v>46</v>
      </c>
      <c r="B75" s="12"/>
      <c r="C75" s="13"/>
      <c r="D75" s="10">
        <f t="shared" si="20"/>
        <v>0</v>
      </c>
      <c r="E75" s="11">
        <f t="shared" si="13"/>
        <v>0</v>
      </c>
      <c r="F75" s="11">
        <f t="shared" si="14"/>
        <v>0</v>
      </c>
      <c r="G75" s="11"/>
      <c r="H75" s="63"/>
      <c r="I75" s="13"/>
      <c r="J75" s="13"/>
      <c r="K75" s="34">
        <f t="shared" si="15"/>
        <v>0</v>
      </c>
      <c r="L75" s="34"/>
      <c r="M75" s="63">
        <v>46</v>
      </c>
      <c r="N75" s="42"/>
      <c r="O75" s="72"/>
      <c r="P75" s="72"/>
      <c r="Q75" s="72"/>
      <c r="R75" s="71"/>
      <c r="S75" s="63"/>
      <c r="T75" s="35">
        <f t="shared" si="16"/>
        <v>0</v>
      </c>
      <c r="U75" s="36">
        <f t="shared" si="17"/>
        <v>0</v>
      </c>
      <c r="V75" s="63"/>
      <c r="W75" s="37">
        <f t="shared" si="18"/>
        <v>0</v>
      </c>
      <c r="X75" s="36">
        <f t="shared" si="19"/>
        <v>0</v>
      </c>
      <c r="Y75" s="63"/>
      <c r="Z75" s="63"/>
      <c r="AA75" s="63"/>
      <c r="AB75" s="63"/>
      <c r="AC75" s="56" t="s">
        <v>53</v>
      </c>
      <c r="AD75" s="49"/>
      <c r="AE75" s="50" t="e">
        <f ca="1">Dados!U27</f>
        <v>#REF!</v>
      </c>
      <c r="AF75"/>
      <c r="AG75"/>
      <c r="AH75"/>
    </row>
    <row r="76" spans="1:44" x14ac:dyDescent="0.35">
      <c r="A76" s="38">
        <v>47</v>
      </c>
      <c r="B76" s="12"/>
      <c r="C76" s="13"/>
      <c r="D76" s="10">
        <f t="shared" si="20"/>
        <v>0</v>
      </c>
      <c r="E76" s="11">
        <f t="shared" si="13"/>
        <v>0</v>
      </c>
      <c r="F76" s="11">
        <f t="shared" si="14"/>
        <v>0</v>
      </c>
      <c r="G76" s="11"/>
      <c r="H76" s="63"/>
      <c r="I76" s="13"/>
      <c r="J76" s="13"/>
      <c r="K76" s="34">
        <f t="shared" si="15"/>
        <v>0</v>
      </c>
      <c r="L76" s="34"/>
      <c r="M76" s="63">
        <v>47</v>
      </c>
      <c r="N76" s="42"/>
      <c r="O76" s="72"/>
      <c r="P76" s="72"/>
      <c r="Q76" s="72"/>
      <c r="R76" s="71"/>
      <c r="S76" s="63"/>
      <c r="T76" s="35">
        <f t="shared" si="16"/>
        <v>0</v>
      </c>
      <c r="U76" s="36">
        <f t="shared" si="17"/>
        <v>0</v>
      </c>
      <c r="V76" s="63"/>
      <c r="W76" s="37">
        <f t="shared" si="18"/>
        <v>0</v>
      </c>
      <c r="X76" s="36">
        <f t="shared" si="19"/>
        <v>0</v>
      </c>
      <c r="Y76" s="63"/>
      <c r="Z76" s="63"/>
      <c r="AA76" s="63"/>
      <c r="AB76" s="63"/>
      <c r="AC76" s="3" t="s">
        <v>55</v>
      </c>
      <c r="AD76" s="4"/>
      <c r="AE76" s="57" t="e">
        <f ca="1">Dados!X27</f>
        <v>#REF!</v>
      </c>
      <c r="AF76"/>
      <c r="AG76"/>
      <c r="AH76"/>
    </row>
    <row r="77" spans="1:44" x14ac:dyDescent="0.35">
      <c r="A77" s="38">
        <v>48</v>
      </c>
      <c r="B77" s="12"/>
      <c r="C77" s="13"/>
      <c r="D77" s="10">
        <f t="shared" si="20"/>
        <v>0</v>
      </c>
      <c r="E77" s="11">
        <f t="shared" si="13"/>
        <v>0</v>
      </c>
      <c r="F77" s="11">
        <f t="shared" si="14"/>
        <v>0</v>
      </c>
      <c r="G77" s="11"/>
      <c r="H77" s="63"/>
      <c r="I77" s="13"/>
      <c r="J77" s="13"/>
      <c r="K77" s="34">
        <f t="shared" si="15"/>
        <v>0</v>
      </c>
      <c r="L77" s="34"/>
      <c r="M77" s="63">
        <v>48</v>
      </c>
      <c r="N77" s="42"/>
      <c r="O77" s="72"/>
      <c r="P77" s="72"/>
      <c r="Q77" s="72"/>
      <c r="R77" s="71"/>
      <c r="S77" s="63"/>
      <c r="T77" s="35">
        <f t="shared" si="16"/>
        <v>0</v>
      </c>
      <c r="U77" s="36">
        <f t="shared" si="17"/>
        <v>0</v>
      </c>
      <c r="V77" s="63"/>
      <c r="W77" s="37">
        <f t="shared" si="18"/>
        <v>0</v>
      </c>
      <c r="X77" s="36">
        <f t="shared" si="19"/>
        <v>0</v>
      </c>
      <c r="Y77" s="63"/>
      <c r="Z77" s="63"/>
      <c r="AA77" s="63"/>
      <c r="AB77" s="63"/>
      <c r="AC77" s="3" t="s">
        <v>70</v>
      </c>
      <c r="AD77" s="4"/>
      <c r="AE77" s="57" t="e">
        <f ca="1">MIN(AE75:AE76)</f>
        <v>#REF!</v>
      </c>
      <c r="AF77"/>
      <c r="AG77"/>
      <c r="AH77"/>
    </row>
    <row r="78" spans="1:44" x14ac:dyDescent="0.35">
      <c r="A78" s="38">
        <v>49</v>
      </c>
      <c r="B78" s="12"/>
      <c r="C78" s="13"/>
      <c r="D78" s="10">
        <f t="shared" si="20"/>
        <v>0</v>
      </c>
      <c r="E78" s="11">
        <f t="shared" si="13"/>
        <v>0</v>
      </c>
      <c r="F78" s="11">
        <f t="shared" si="14"/>
        <v>0</v>
      </c>
      <c r="G78" s="11"/>
      <c r="H78" s="63"/>
      <c r="I78" s="13"/>
      <c r="J78" s="13"/>
      <c r="K78" s="34">
        <f t="shared" si="15"/>
        <v>0</v>
      </c>
      <c r="L78" s="34"/>
      <c r="M78" s="63">
        <v>49</v>
      </c>
      <c r="N78" s="42"/>
      <c r="O78" s="72"/>
      <c r="P78" s="72"/>
      <c r="Q78" s="72"/>
      <c r="R78" s="71"/>
      <c r="S78" s="63"/>
      <c r="T78" s="35">
        <f t="shared" si="16"/>
        <v>0</v>
      </c>
      <c r="U78" s="36">
        <f t="shared" si="17"/>
        <v>0</v>
      </c>
      <c r="V78" s="63"/>
      <c r="W78" s="37">
        <f t="shared" si="18"/>
        <v>0</v>
      </c>
      <c r="X78" s="36">
        <f t="shared" si="19"/>
        <v>0</v>
      </c>
      <c r="Y78" s="63"/>
      <c r="Z78" s="63"/>
      <c r="AA78" s="63"/>
      <c r="AB78" s="63"/>
      <c r="AC78" s="3" t="s">
        <v>71</v>
      </c>
      <c r="AD78" s="4"/>
      <c r="AE78" s="58" t="e">
        <f ca="1">AE77/(Dados!$B$17*Dados!$B$12)</f>
        <v>#REF!</v>
      </c>
      <c r="AF78"/>
      <c r="AG78"/>
      <c r="AH78"/>
    </row>
    <row r="79" spans="1:44" x14ac:dyDescent="0.35">
      <c r="A79" s="38">
        <v>50</v>
      </c>
      <c r="B79" s="12"/>
      <c r="C79" s="13"/>
      <c r="D79" s="10">
        <f t="shared" si="20"/>
        <v>0</v>
      </c>
      <c r="E79" s="11">
        <f t="shared" si="13"/>
        <v>0</v>
      </c>
      <c r="F79" s="11">
        <f t="shared" si="14"/>
        <v>0</v>
      </c>
      <c r="G79" s="11"/>
      <c r="H79" s="63"/>
      <c r="I79" s="13"/>
      <c r="J79" s="13"/>
      <c r="K79" s="34">
        <f t="shared" si="15"/>
        <v>0</v>
      </c>
      <c r="L79" s="34"/>
      <c r="M79" s="63">
        <v>50</v>
      </c>
      <c r="N79" s="42"/>
      <c r="O79" s="72"/>
      <c r="P79" s="72"/>
      <c r="Q79" s="72"/>
      <c r="R79" s="71"/>
      <c r="S79" s="63"/>
      <c r="T79" s="35">
        <f t="shared" si="16"/>
        <v>0</v>
      </c>
      <c r="U79" s="36">
        <f t="shared" si="17"/>
        <v>0</v>
      </c>
      <c r="V79" s="63"/>
      <c r="W79" s="37">
        <f t="shared" si="18"/>
        <v>0</v>
      </c>
      <c r="X79" s="36">
        <f t="shared" si="19"/>
        <v>0</v>
      </c>
      <c r="Y79" s="63"/>
      <c r="Z79" s="63"/>
      <c r="AA79" s="63"/>
      <c r="AB79" s="63"/>
      <c r="AC79" s="5" t="s">
        <v>72</v>
      </c>
      <c r="AD79" s="59"/>
      <c r="AE79" s="6">
        <v>1E-3</v>
      </c>
      <c r="AF79"/>
      <c r="AG79"/>
      <c r="AH79"/>
    </row>
    <row r="80" spans="1:44" x14ac:dyDescent="0.35">
      <c r="A80" s="38">
        <v>51</v>
      </c>
      <c r="B80" s="12"/>
      <c r="C80" s="13"/>
      <c r="D80" s="10">
        <f t="shared" si="20"/>
        <v>0</v>
      </c>
      <c r="E80" s="11">
        <f t="shared" si="13"/>
        <v>0</v>
      </c>
      <c r="F80" s="11">
        <f t="shared" si="14"/>
        <v>0</v>
      </c>
      <c r="G80" s="11"/>
      <c r="H80" s="63"/>
      <c r="I80" s="13"/>
      <c r="J80" s="13"/>
      <c r="K80" s="34">
        <f t="shared" si="15"/>
        <v>0</v>
      </c>
      <c r="L80" s="34"/>
      <c r="M80" s="63">
        <v>51</v>
      </c>
      <c r="N80" s="42"/>
      <c r="O80" s="72"/>
      <c r="P80" s="72"/>
      <c r="Q80" s="72"/>
      <c r="R80" s="71"/>
      <c r="S80" s="63"/>
      <c r="T80" s="35">
        <f t="shared" si="16"/>
        <v>0</v>
      </c>
      <c r="U80" s="36">
        <f t="shared" si="17"/>
        <v>0</v>
      </c>
      <c r="V80" s="63"/>
      <c r="W80" s="37">
        <f t="shared" si="18"/>
        <v>0</v>
      </c>
      <c r="X80" s="36">
        <f t="shared" si="19"/>
        <v>0</v>
      </c>
      <c r="Y80" s="63"/>
      <c r="Z80" s="63"/>
      <c r="AA80" s="63"/>
      <c r="AB80" s="63"/>
      <c r="AC80"/>
      <c r="AD80"/>
      <c r="AE80"/>
      <c r="AF80"/>
      <c r="AG80"/>
      <c r="AH80"/>
    </row>
    <row r="81" spans="1:34" x14ac:dyDescent="0.35">
      <c r="A81" s="38">
        <v>52</v>
      </c>
      <c r="B81" s="12"/>
      <c r="C81" s="13"/>
      <c r="D81" s="10">
        <f t="shared" si="20"/>
        <v>0</v>
      </c>
      <c r="E81" s="11">
        <f t="shared" si="13"/>
        <v>0</v>
      </c>
      <c r="F81" s="11">
        <f t="shared" si="14"/>
        <v>0</v>
      </c>
      <c r="G81" s="11"/>
      <c r="H81" s="63"/>
      <c r="I81" s="13"/>
      <c r="J81" s="13"/>
      <c r="K81" s="34">
        <f t="shared" si="15"/>
        <v>0</v>
      </c>
      <c r="L81" s="34"/>
      <c r="M81" s="63">
        <v>52</v>
      </c>
      <c r="N81" s="42"/>
      <c r="O81" s="72"/>
      <c r="P81" s="72"/>
      <c r="Q81" s="72"/>
      <c r="R81" s="71"/>
      <c r="S81" s="63"/>
      <c r="T81" s="35">
        <f t="shared" si="16"/>
        <v>0</v>
      </c>
      <c r="U81" s="36">
        <f t="shared" si="17"/>
        <v>0</v>
      </c>
      <c r="V81" s="63"/>
      <c r="W81" s="37">
        <f t="shared" si="18"/>
        <v>0</v>
      </c>
      <c r="X81" s="36">
        <f t="shared" si="19"/>
        <v>0</v>
      </c>
      <c r="Y81" s="63"/>
      <c r="Z81" s="63"/>
      <c r="AA81" s="63"/>
      <c r="AB81" s="63"/>
      <c r="AC81" s="56" t="s">
        <v>73</v>
      </c>
      <c r="AD81" s="49"/>
      <c r="AE81" s="50" t="e">
        <f ca="1">LARGE(OFFSET(Dados!$W$30,0,0,Dados!$B$11),1)</f>
        <v>#REF!</v>
      </c>
      <c r="AF81"/>
      <c r="AG81"/>
      <c r="AH81"/>
    </row>
    <row r="82" spans="1:34" x14ac:dyDescent="0.35">
      <c r="A82" s="38">
        <v>53</v>
      </c>
      <c r="B82" s="12"/>
      <c r="C82" s="13"/>
      <c r="D82" s="10">
        <f t="shared" si="20"/>
        <v>0</v>
      </c>
      <c r="E82" s="11">
        <f t="shared" si="13"/>
        <v>0</v>
      </c>
      <c r="F82" s="11">
        <f t="shared" si="14"/>
        <v>0</v>
      </c>
      <c r="G82" s="11"/>
      <c r="H82" s="63"/>
      <c r="I82" s="13"/>
      <c r="J82" s="13"/>
      <c r="K82" s="34">
        <f t="shared" si="15"/>
        <v>0</v>
      </c>
      <c r="L82" s="34"/>
      <c r="M82" s="63">
        <v>53</v>
      </c>
      <c r="N82" s="42"/>
      <c r="O82" s="72"/>
      <c r="P82" s="72"/>
      <c r="Q82" s="72"/>
      <c r="R82" s="71"/>
      <c r="S82" s="63"/>
      <c r="T82" s="35">
        <f t="shared" si="16"/>
        <v>0</v>
      </c>
      <c r="U82" s="36">
        <f t="shared" si="17"/>
        <v>0</v>
      </c>
      <c r="V82" s="63"/>
      <c r="W82" s="37">
        <f t="shared" si="18"/>
        <v>0</v>
      </c>
      <c r="X82" s="36">
        <f t="shared" si="19"/>
        <v>0</v>
      </c>
      <c r="Y82" s="63"/>
      <c r="Z82" s="63"/>
      <c r="AA82" s="63"/>
      <c r="AB82" s="63"/>
      <c r="AC82" s="3" t="s">
        <v>74</v>
      </c>
      <c r="AD82" s="4"/>
      <c r="AE82" s="57" t="e">
        <f ca="1" xml:space="preserve"> AE81*Dados!$B$15</f>
        <v>#REF!</v>
      </c>
      <c r="AF82"/>
      <c r="AG82"/>
      <c r="AH82"/>
    </row>
    <row r="83" spans="1:34" x14ac:dyDescent="0.35">
      <c r="A83" s="38">
        <v>54</v>
      </c>
      <c r="B83" s="12"/>
      <c r="C83" s="13"/>
      <c r="D83" s="10">
        <f t="shared" si="20"/>
        <v>0</v>
      </c>
      <c r="E83" s="11">
        <f t="shared" si="13"/>
        <v>0</v>
      </c>
      <c r="F83" s="11">
        <f t="shared" si="14"/>
        <v>0</v>
      </c>
      <c r="G83" s="11"/>
      <c r="H83" s="63"/>
      <c r="I83" s="13"/>
      <c r="J83" s="13"/>
      <c r="K83" s="34">
        <f t="shared" si="15"/>
        <v>0</v>
      </c>
      <c r="L83" s="34"/>
      <c r="M83" s="63">
        <v>54</v>
      </c>
      <c r="N83" s="42"/>
      <c r="O83" s="72"/>
      <c r="P83" s="72"/>
      <c r="Q83" s="72"/>
      <c r="R83" s="71"/>
      <c r="S83" s="63"/>
      <c r="T83" s="35">
        <f t="shared" si="16"/>
        <v>0</v>
      </c>
      <c r="U83" s="36">
        <f t="shared" si="17"/>
        <v>0</v>
      </c>
      <c r="V83" s="63"/>
      <c r="W83" s="37">
        <f t="shared" si="18"/>
        <v>0</v>
      </c>
      <c r="X83" s="36">
        <f t="shared" si="19"/>
        <v>0</v>
      </c>
      <c r="Y83" s="63"/>
      <c r="Z83" s="63"/>
      <c r="AA83" s="63"/>
      <c r="AB83" s="63"/>
      <c r="AC83" s="5" t="s">
        <v>75</v>
      </c>
      <c r="AD83" s="59"/>
      <c r="AE83" s="44" t="e">
        <f>VLOOKUP($B$4,'Patrimônio Líquido'!A3:C19,3,0)</f>
        <v>#N/A</v>
      </c>
      <c r="AF83"/>
      <c r="AG83"/>
      <c r="AH83"/>
    </row>
    <row r="84" spans="1:34" x14ac:dyDescent="0.35">
      <c r="A84" s="38">
        <v>55</v>
      </c>
      <c r="B84" s="12"/>
      <c r="C84" s="13"/>
      <c r="D84" s="10">
        <f t="shared" si="20"/>
        <v>0</v>
      </c>
      <c r="E84" s="11">
        <f t="shared" si="13"/>
        <v>0</v>
      </c>
      <c r="F84" s="11">
        <f t="shared" si="14"/>
        <v>0</v>
      </c>
      <c r="G84" s="11"/>
      <c r="H84" s="63"/>
      <c r="I84" s="13"/>
      <c r="J84" s="13"/>
      <c r="K84" s="34">
        <f t="shared" si="15"/>
        <v>0</v>
      </c>
      <c r="L84" s="34"/>
      <c r="M84" s="63">
        <v>55</v>
      </c>
      <c r="N84" s="42"/>
      <c r="O84" s="72"/>
      <c r="P84" s="72"/>
      <c r="Q84" s="72"/>
      <c r="R84" s="71"/>
      <c r="S84" s="63"/>
      <c r="T84" s="35">
        <f t="shared" si="16"/>
        <v>0</v>
      </c>
      <c r="U84" s="36">
        <f t="shared" si="17"/>
        <v>0</v>
      </c>
      <c r="V84" s="63"/>
      <c r="W84" s="37">
        <f t="shared" si="18"/>
        <v>0</v>
      </c>
      <c r="X84" s="36">
        <f t="shared" si="19"/>
        <v>0</v>
      </c>
      <c r="Y84" s="63"/>
      <c r="Z84" s="63"/>
      <c r="AA84" s="63"/>
      <c r="AB84" s="63"/>
      <c r="AC84" s="63"/>
      <c r="AD84" s="63"/>
      <c r="AE84" s="63"/>
      <c r="AF84" s="63"/>
      <c r="AG84" s="63"/>
      <c r="AH84" s="63"/>
    </row>
    <row r="85" spans="1:34" x14ac:dyDescent="0.35">
      <c r="A85" s="38">
        <v>56</v>
      </c>
      <c r="B85" s="12"/>
      <c r="C85" s="13"/>
      <c r="D85" s="10">
        <f t="shared" si="20"/>
        <v>0</v>
      </c>
      <c r="E85" s="11">
        <f t="shared" si="13"/>
        <v>0</v>
      </c>
      <c r="F85" s="11">
        <f t="shared" si="14"/>
        <v>0</v>
      </c>
      <c r="G85" s="11"/>
      <c r="H85" s="63"/>
      <c r="I85" s="13"/>
      <c r="J85" s="13"/>
      <c r="K85" s="34">
        <f t="shared" si="15"/>
        <v>0</v>
      </c>
      <c r="L85" s="34"/>
      <c r="M85" s="63">
        <v>56</v>
      </c>
      <c r="N85" s="42"/>
      <c r="O85" s="72"/>
      <c r="P85" s="72"/>
      <c r="Q85" s="72"/>
      <c r="R85" s="71"/>
      <c r="S85" s="63"/>
      <c r="T85" s="35">
        <f t="shared" si="16"/>
        <v>0</v>
      </c>
      <c r="U85" s="36">
        <f t="shared" si="17"/>
        <v>0</v>
      </c>
      <c r="V85" s="63"/>
      <c r="W85" s="37">
        <f t="shared" si="18"/>
        <v>0</v>
      </c>
      <c r="X85" s="36">
        <f t="shared" si="19"/>
        <v>0</v>
      </c>
      <c r="Y85" s="63"/>
      <c r="Z85" s="63"/>
      <c r="AA85" s="63" t="e">
        <f ca="1">AB85</f>
        <v>#REF!</v>
      </c>
      <c r="AB85" s="1" t="e">
        <f ca="1" xml:space="preserve"> IF(AND(Dados!$B$6 = "Popular", $AE$78 &lt; 5%), 1, 0)</f>
        <v>#REF!</v>
      </c>
      <c r="AC85" s="3" t="s">
        <v>76</v>
      </c>
      <c r="AD85"/>
      <c r="AE85"/>
      <c r="AF85" s="63"/>
      <c r="AG85" s="63"/>
      <c r="AH85" s="63"/>
    </row>
    <row r="86" spans="1:34" x14ac:dyDescent="0.35">
      <c r="A86" s="38">
        <v>57</v>
      </c>
      <c r="B86" s="12"/>
      <c r="C86" s="13"/>
      <c r="D86" s="10">
        <f t="shared" si="20"/>
        <v>0</v>
      </c>
      <c r="E86" s="11">
        <f t="shared" si="13"/>
        <v>0</v>
      </c>
      <c r="F86" s="11">
        <f t="shared" si="14"/>
        <v>0</v>
      </c>
      <c r="G86" s="11"/>
      <c r="H86" s="63"/>
      <c r="I86" s="13"/>
      <c r="J86" s="13"/>
      <c r="K86" s="34">
        <f t="shared" si="15"/>
        <v>0</v>
      </c>
      <c r="L86" s="34"/>
      <c r="M86" s="63">
        <v>57</v>
      </c>
      <c r="N86" s="42"/>
      <c r="O86" s="72"/>
      <c r="P86" s="72"/>
      <c r="Q86" s="72"/>
      <c r="R86" s="71"/>
      <c r="S86" s="63"/>
      <c r="T86" s="35">
        <f t="shared" si="16"/>
        <v>0</v>
      </c>
      <c r="U86" s="36">
        <f t="shared" si="17"/>
        <v>0</v>
      </c>
      <c r="V86" s="63"/>
      <c r="W86" s="37">
        <f t="shared" si="18"/>
        <v>0</v>
      </c>
      <c r="X86" s="36">
        <f t="shared" si="19"/>
        <v>0</v>
      </c>
      <c r="Y86" s="63"/>
      <c r="Z86"/>
      <c r="AA86" s="63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77</v>
      </c>
      <c r="AD86"/>
      <c r="AE86"/>
      <c r="AF86" s="63"/>
      <c r="AG86" s="63"/>
      <c r="AH86" s="63"/>
    </row>
    <row r="87" spans="1:34" x14ac:dyDescent="0.35">
      <c r="A87" s="38">
        <v>58</v>
      </c>
      <c r="B87" s="12"/>
      <c r="C87" s="13"/>
      <c r="D87" s="10">
        <f t="shared" si="20"/>
        <v>0</v>
      </c>
      <c r="E87" s="11">
        <f t="shared" si="13"/>
        <v>0</v>
      </c>
      <c r="F87" s="11">
        <f t="shared" si="14"/>
        <v>0</v>
      </c>
      <c r="G87" s="11"/>
      <c r="H87" s="63"/>
      <c r="I87" s="13"/>
      <c r="J87" s="13"/>
      <c r="K87" s="34">
        <f t="shared" si="15"/>
        <v>0</v>
      </c>
      <c r="L87" s="34"/>
      <c r="M87" s="63">
        <v>58</v>
      </c>
      <c r="N87" s="42"/>
      <c r="O87" s="72"/>
      <c r="P87" s="72"/>
      <c r="Q87" s="72"/>
      <c r="R87" s="71"/>
      <c r="S87" s="63"/>
      <c r="T87" s="35">
        <f t="shared" si="16"/>
        <v>0</v>
      </c>
      <c r="U87" s="36">
        <f t="shared" si="17"/>
        <v>0</v>
      </c>
      <c r="V87" s="63"/>
      <c r="W87" s="37">
        <f t="shared" si="18"/>
        <v>0</v>
      </c>
      <c r="X87" s="36">
        <f t="shared" si="19"/>
        <v>0</v>
      </c>
      <c r="Y87" s="63"/>
      <c r="Z87" s="63"/>
      <c r="AA87" s="63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78</v>
      </c>
      <c r="AD87"/>
      <c r="AE87"/>
      <c r="AF87" s="63"/>
      <c r="AG87" s="63"/>
      <c r="AH87" s="63"/>
    </row>
    <row r="88" spans="1:34" x14ac:dyDescent="0.35">
      <c r="A88" s="38">
        <v>59</v>
      </c>
      <c r="B88" s="12"/>
      <c r="C88" s="13"/>
      <c r="D88" s="10">
        <f t="shared" si="20"/>
        <v>0</v>
      </c>
      <c r="E88" s="11">
        <f t="shared" si="13"/>
        <v>0</v>
      </c>
      <c r="F88" s="11">
        <f t="shared" si="14"/>
        <v>0</v>
      </c>
      <c r="G88" s="11"/>
      <c r="H88" s="63"/>
      <c r="I88" s="13"/>
      <c r="J88" s="13"/>
      <c r="K88" s="34">
        <f t="shared" si="15"/>
        <v>0</v>
      </c>
      <c r="L88" s="34"/>
      <c r="M88" s="63">
        <v>59</v>
      </c>
      <c r="N88" s="42"/>
      <c r="O88" s="72"/>
      <c r="P88" s="72"/>
      <c r="Q88" s="72"/>
      <c r="R88" s="71"/>
      <c r="S88" s="63"/>
      <c r="T88" s="35">
        <f t="shared" si="16"/>
        <v>0</v>
      </c>
      <c r="U88" s="36">
        <f t="shared" si="17"/>
        <v>0</v>
      </c>
      <c r="V88" s="63"/>
      <c r="W88" s="37">
        <f t="shared" si="18"/>
        <v>0</v>
      </c>
      <c r="X88" s="36">
        <f t="shared" si="19"/>
        <v>0</v>
      </c>
      <c r="Y88" s="63"/>
      <c r="Z88" s="63"/>
      <c r="AA88" s="63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79</v>
      </c>
      <c r="AD88"/>
      <c r="AE88"/>
      <c r="AF88" s="63"/>
      <c r="AG88" s="63"/>
      <c r="AH88" s="63"/>
    </row>
    <row r="89" spans="1:34" x14ac:dyDescent="0.35">
      <c r="A89" s="38">
        <v>60</v>
      </c>
      <c r="B89" s="12"/>
      <c r="C89" s="13"/>
      <c r="D89" s="10">
        <f t="shared" si="20"/>
        <v>0</v>
      </c>
      <c r="E89" s="11">
        <f t="shared" si="13"/>
        <v>0</v>
      </c>
      <c r="F89" s="11">
        <f t="shared" si="14"/>
        <v>0</v>
      </c>
      <c r="G89" s="11"/>
      <c r="H89" s="63"/>
      <c r="I89" s="13"/>
      <c r="J89" s="13"/>
      <c r="K89" s="34">
        <f t="shared" si="15"/>
        <v>0</v>
      </c>
      <c r="L89" s="34"/>
      <c r="M89" s="63">
        <v>60</v>
      </c>
      <c r="N89" s="42"/>
      <c r="O89" s="72"/>
      <c r="P89" s="72"/>
      <c r="Q89" s="72"/>
      <c r="R89" s="71"/>
      <c r="S89" s="63"/>
      <c r="T89" s="35">
        <f t="shared" si="16"/>
        <v>0</v>
      </c>
      <c r="U89" s="36">
        <f t="shared" si="17"/>
        <v>0</v>
      </c>
      <c r="V89" s="63"/>
      <c r="W89" s="37">
        <f t="shared" si="18"/>
        <v>0</v>
      </c>
      <c r="X89" s="36">
        <f t="shared" si="19"/>
        <v>0</v>
      </c>
      <c r="Y89" s="63"/>
      <c r="Z89" s="63"/>
      <c r="AA89" s="63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80</v>
      </c>
      <c r="AD89"/>
      <c r="AE89"/>
      <c r="AF89" s="63"/>
      <c r="AG89" s="63"/>
      <c r="AH89" s="63"/>
    </row>
    <row r="90" spans="1:34" x14ac:dyDescent="0.35">
      <c r="A90" s="38">
        <v>61</v>
      </c>
      <c r="B90" s="12"/>
      <c r="C90" s="13"/>
      <c r="D90" s="10">
        <f t="shared" si="20"/>
        <v>0</v>
      </c>
      <c r="E90" s="11">
        <f t="shared" si="13"/>
        <v>0</v>
      </c>
      <c r="F90" s="11">
        <f t="shared" si="14"/>
        <v>0</v>
      </c>
      <c r="G90" s="11"/>
      <c r="H90" s="63"/>
      <c r="I90" s="13"/>
      <c r="J90" s="13"/>
      <c r="K90" s="34">
        <f t="shared" si="15"/>
        <v>0</v>
      </c>
      <c r="L90" s="34"/>
      <c r="M90" s="63">
        <v>61</v>
      </c>
      <c r="N90" s="42"/>
      <c r="O90" s="71"/>
      <c r="P90" s="71"/>
      <c r="Q90" s="71"/>
      <c r="R90" s="71"/>
      <c r="S90" s="63"/>
      <c r="T90" s="35">
        <f t="shared" si="16"/>
        <v>0</v>
      </c>
      <c r="U90" s="36">
        <f t="shared" si="17"/>
        <v>0</v>
      </c>
      <c r="V90" s="63"/>
      <c r="W90" s="37">
        <f t="shared" si="18"/>
        <v>0</v>
      </c>
      <c r="X90" s="36">
        <f t="shared" si="19"/>
        <v>0</v>
      </c>
      <c r="Y90" s="63"/>
      <c r="Z90" s="63"/>
      <c r="AA90" s="63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81</v>
      </c>
      <c r="AD90"/>
      <c r="AE90"/>
      <c r="AF90" s="63"/>
      <c r="AG90" s="63"/>
      <c r="AH90" s="63"/>
    </row>
    <row r="91" spans="1:34" x14ac:dyDescent="0.35">
      <c r="A91" s="38">
        <v>62</v>
      </c>
      <c r="B91" s="12"/>
      <c r="C91" s="13"/>
      <c r="D91" s="10">
        <f t="shared" si="20"/>
        <v>0</v>
      </c>
      <c r="E91" s="11">
        <f t="shared" si="13"/>
        <v>0</v>
      </c>
      <c r="F91" s="11">
        <f t="shared" si="14"/>
        <v>0</v>
      </c>
      <c r="G91" s="11"/>
      <c r="H91" s="63"/>
      <c r="I91" s="13"/>
      <c r="J91" s="13"/>
      <c r="K91" s="34">
        <f t="shared" si="15"/>
        <v>0</v>
      </c>
      <c r="L91" s="34"/>
      <c r="M91" s="63">
        <v>62</v>
      </c>
      <c r="N91" s="42"/>
      <c r="O91" s="71"/>
      <c r="P91" s="71"/>
      <c r="Q91" s="71"/>
      <c r="R91" s="71"/>
      <c r="S91" s="63"/>
      <c r="T91" s="35">
        <f t="shared" si="16"/>
        <v>0</v>
      </c>
      <c r="U91" s="36">
        <f t="shared" si="17"/>
        <v>0</v>
      </c>
      <c r="V91" s="63"/>
      <c r="W91" s="37">
        <f t="shared" si="18"/>
        <v>0</v>
      </c>
      <c r="X91" s="36">
        <f t="shared" si="19"/>
        <v>0</v>
      </c>
      <c r="Y91" s="63"/>
      <c r="Z91" s="63"/>
      <c r="AA91" s="63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82</v>
      </c>
      <c r="AD91"/>
      <c r="AE91"/>
      <c r="AF91" s="63"/>
      <c r="AG91" s="63"/>
      <c r="AH91" s="63"/>
    </row>
    <row r="92" spans="1:34" x14ac:dyDescent="0.35">
      <c r="A92" s="38">
        <v>63</v>
      </c>
      <c r="B92" s="12"/>
      <c r="C92" s="13"/>
      <c r="D92" s="10">
        <f t="shared" si="20"/>
        <v>0</v>
      </c>
      <c r="E92" s="11">
        <f t="shared" si="13"/>
        <v>0</v>
      </c>
      <c r="F92" s="11">
        <f t="shared" si="14"/>
        <v>0</v>
      </c>
      <c r="G92" s="11"/>
      <c r="H92" s="63"/>
      <c r="I92" s="13"/>
      <c r="J92" s="13"/>
      <c r="K92" s="34">
        <f t="shared" si="15"/>
        <v>0</v>
      </c>
      <c r="L92" s="34"/>
      <c r="M92" s="63">
        <v>63</v>
      </c>
      <c r="N92" s="42"/>
      <c r="O92" s="71"/>
      <c r="P92" s="71"/>
      <c r="Q92" s="71"/>
      <c r="R92" s="71"/>
      <c r="S92" s="63"/>
      <c r="T92" s="35">
        <f t="shared" si="16"/>
        <v>0</v>
      </c>
      <c r="U92" s="36">
        <f t="shared" si="17"/>
        <v>0</v>
      </c>
      <c r="V92" s="63"/>
      <c r="W92" s="37">
        <f t="shared" si="18"/>
        <v>0</v>
      </c>
      <c r="X92" s="36">
        <f t="shared" si="19"/>
        <v>0</v>
      </c>
      <c r="Y92" s="63"/>
      <c r="Z92" s="63"/>
      <c r="AA92" s="63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83</v>
      </c>
      <c r="AD92"/>
      <c r="AE92"/>
      <c r="AF92" s="63"/>
      <c r="AG92" s="63"/>
      <c r="AH92" s="63"/>
    </row>
    <row r="93" spans="1:34" x14ac:dyDescent="0.35">
      <c r="A93" s="38">
        <v>64</v>
      </c>
      <c r="B93" s="12"/>
      <c r="C93" s="13"/>
      <c r="D93" s="10">
        <f t="shared" si="20"/>
        <v>0</v>
      </c>
      <c r="E93" s="11">
        <f t="shared" si="13"/>
        <v>0</v>
      </c>
      <c r="F93" s="11">
        <f t="shared" si="14"/>
        <v>0</v>
      </c>
      <c r="G93" s="11"/>
      <c r="H93" s="63"/>
      <c r="I93" s="13"/>
      <c r="J93" s="13"/>
      <c r="K93" s="34">
        <f t="shared" si="15"/>
        <v>0</v>
      </c>
      <c r="L93" s="34"/>
      <c r="M93" s="63">
        <v>64</v>
      </c>
      <c r="N93" s="42"/>
      <c r="O93" s="71"/>
      <c r="P93" s="71"/>
      <c r="Q93" s="71"/>
      <c r="R93" s="71"/>
      <c r="S93" s="63"/>
      <c r="T93" s="35">
        <f t="shared" si="16"/>
        <v>0</v>
      </c>
      <c r="U93" s="36">
        <f t="shared" si="17"/>
        <v>0</v>
      </c>
      <c r="V93" s="63"/>
      <c r="W93" s="37">
        <f t="shared" si="18"/>
        <v>0</v>
      </c>
      <c r="X93" s="36">
        <f t="shared" si="19"/>
        <v>0</v>
      </c>
      <c r="Y93" s="63"/>
      <c r="Z93" s="63"/>
      <c r="AA93" s="63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84</v>
      </c>
      <c r="AD93"/>
      <c r="AE93"/>
      <c r="AF93" s="63"/>
      <c r="AG93" s="63"/>
      <c r="AH93" s="63"/>
    </row>
    <row r="94" spans="1:34" x14ac:dyDescent="0.35">
      <c r="A94" s="38">
        <v>65</v>
      </c>
      <c r="B94" s="12"/>
      <c r="C94" s="13"/>
      <c r="D94" s="10">
        <f t="shared" si="20"/>
        <v>0</v>
      </c>
      <c r="E94" s="11">
        <f t="shared" ref="E94:E125" si="22">IF(A94&lt;=$B$11,D94*C94/IF(A94&lt;=$B$17,A94,$B$17),0)</f>
        <v>0</v>
      </c>
      <c r="F94" s="11">
        <f t="shared" ref="F94:F125" si="23">IF(A94&lt;=$B$11,IF(OR($B$7="PM",$B$7="PP",$B$6="Popular"),MAX(50%,E94),E94),0)</f>
        <v>0</v>
      </c>
      <c r="G94" s="11"/>
      <c r="H94" s="63"/>
      <c r="I94" s="13"/>
      <c r="J94" s="13"/>
      <c r="K94" s="34">
        <f t="shared" ref="K94:K124" si="24">J94+I94+B94</f>
        <v>0</v>
      </c>
      <c r="L94" s="34"/>
      <c r="M94" s="63">
        <v>65</v>
      </c>
      <c r="N94" s="42"/>
      <c r="O94" s="71"/>
      <c r="P94" s="71"/>
      <c r="Q94" s="71"/>
      <c r="R94" s="71"/>
      <c r="S94" s="63"/>
      <c r="T94" s="35">
        <f t="shared" ref="T94:T125" si="25">I94*$B$12</f>
        <v>0</v>
      </c>
      <c r="U94" s="36">
        <f t="shared" ref="U94:U125" si="26">$T94*(B$14+1)^-($A94-1)</f>
        <v>0</v>
      </c>
      <c r="V94" s="63"/>
      <c r="W94" s="37">
        <f t="shared" ref="W94:W125" si="27">N94+O94+P94+Q94+R94</f>
        <v>0</v>
      </c>
      <c r="X94" s="36">
        <f t="shared" ref="X94:X125" si="28">$W94*(B$14+1)^-($A94-1)</f>
        <v>0</v>
      </c>
      <c r="Y94" s="63"/>
      <c r="Z94" s="63"/>
      <c r="AA94" s="63">
        <f t="shared" si="21"/>
        <v>0</v>
      </c>
      <c r="AB94">
        <f>IF(AND(Dados!$B$6="Tradicional",Dados!B11&lt;12),1,0)</f>
        <v>0</v>
      </c>
      <c r="AC94" t="s">
        <v>85</v>
      </c>
      <c r="AD94"/>
      <c r="AE94"/>
      <c r="AF94" s="63"/>
      <c r="AG94" s="63"/>
      <c r="AH94" s="63"/>
    </row>
    <row r="95" spans="1:34" x14ac:dyDescent="0.35">
      <c r="A95" s="38">
        <v>66</v>
      </c>
      <c r="B95" s="12"/>
      <c r="C95" s="13"/>
      <c r="D95" s="10">
        <f t="shared" ref="D95:D126" si="29">IF(A95&lt;=$B$11,(D94 + B95)*(1+$B$13),0)</f>
        <v>0</v>
      </c>
      <c r="E95" s="11">
        <f t="shared" si="22"/>
        <v>0</v>
      </c>
      <c r="F95" s="11">
        <f t="shared" si="23"/>
        <v>0</v>
      </c>
      <c r="G95" s="11"/>
      <c r="H95" s="63"/>
      <c r="I95" s="13"/>
      <c r="J95" s="13"/>
      <c r="K95" s="34">
        <f t="shared" si="24"/>
        <v>0</v>
      </c>
      <c r="L95" s="34"/>
      <c r="M95" s="63">
        <v>66</v>
      </c>
      <c r="N95" s="42"/>
      <c r="O95" s="71"/>
      <c r="P95" s="71"/>
      <c r="Q95" s="71"/>
      <c r="R95" s="71"/>
      <c r="S95" s="63"/>
      <c r="T95" s="35">
        <f t="shared" si="25"/>
        <v>0</v>
      </c>
      <c r="U95" s="36">
        <f t="shared" si="26"/>
        <v>0</v>
      </c>
      <c r="V95" s="63"/>
      <c r="W95" s="37">
        <f t="shared" si="27"/>
        <v>0</v>
      </c>
      <c r="X95" s="36">
        <f t="shared" si="28"/>
        <v>0</v>
      </c>
      <c r="Y95" s="63"/>
      <c r="Z95" s="63"/>
      <c r="AA95" s="63">
        <f t="shared" si="21"/>
        <v>0</v>
      </c>
      <c r="AB95">
        <f>IF(AND(Dados!$B$6="Popular",Dados!B11&lt;12),1,0)</f>
        <v>0</v>
      </c>
      <c r="AC95" t="s">
        <v>86</v>
      </c>
      <c r="AD95"/>
      <c r="AE95"/>
      <c r="AF95" s="63"/>
      <c r="AG95" s="63"/>
      <c r="AH95" s="63"/>
    </row>
    <row r="96" spans="1:34" x14ac:dyDescent="0.35">
      <c r="A96" s="38">
        <v>67</v>
      </c>
      <c r="B96" s="12"/>
      <c r="C96" s="13"/>
      <c r="D96" s="10">
        <f t="shared" si="29"/>
        <v>0</v>
      </c>
      <c r="E96" s="11">
        <f t="shared" si="22"/>
        <v>0</v>
      </c>
      <c r="F96" s="11">
        <f t="shared" si="23"/>
        <v>0</v>
      </c>
      <c r="G96" s="11"/>
      <c r="H96" s="63"/>
      <c r="I96" s="13"/>
      <c r="J96" s="13"/>
      <c r="K96" s="34">
        <f t="shared" si="24"/>
        <v>0</v>
      </c>
      <c r="L96" s="34"/>
      <c r="M96" s="63">
        <v>67</v>
      </c>
      <c r="N96" s="42"/>
      <c r="O96" s="71"/>
      <c r="P96" s="71"/>
      <c r="Q96" s="71"/>
      <c r="R96" s="71"/>
      <c r="S96" s="63"/>
      <c r="T96" s="35">
        <f t="shared" si="25"/>
        <v>0</v>
      </c>
      <c r="U96" s="36">
        <f t="shared" si="26"/>
        <v>0</v>
      </c>
      <c r="V96" s="63"/>
      <c r="W96" s="37">
        <f t="shared" si="27"/>
        <v>0</v>
      </c>
      <c r="X96" s="36">
        <f t="shared" si="28"/>
        <v>0</v>
      </c>
      <c r="Y96" s="63"/>
      <c r="Z96" s="63"/>
      <c r="AA96" s="63">
        <f t="shared" si="21"/>
        <v>0</v>
      </c>
      <c r="AB96">
        <f>IF(AND(Dados!$B$6="Instrumento de Garantia",Dados!B11&lt;6),1,0)</f>
        <v>0</v>
      </c>
      <c r="AC96" t="s">
        <v>87</v>
      </c>
      <c r="AD96"/>
      <c r="AE96"/>
      <c r="AF96" s="63"/>
      <c r="AG96" s="63"/>
      <c r="AH96" s="63"/>
    </row>
    <row r="97" spans="1:34" x14ac:dyDescent="0.35">
      <c r="A97" s="38">
        <v>68</v>
      </c>
      <c r="B97" s="12"/>
      <c r="C97" s="13"/>
      <c r="D97" s="10">
        <f t="shared" si="29"/>
        <v>0</v>
      </c>
      <c r="E97" s="11">
        <f t="shared" si="22"/>
        <v>0</v>
      </c>
      <c r="F97" s="11">
        <f t="shared" si="23"/>
        <v>0</v>
      </c>
      <c r="G97" s="11"/>
      <c r="H97" s="63"/>
      <c r="I97" s="13"/>
      <c r="J97" s="13"/>
      <c r="K97" s="34">
        <f t="shared" si="24"/>
        <v>0</v>
      </c>
      <c r="L97" s="34"/>
      <c r="M97" s="63">
        <v>68</v>
      </c>
      <c r="N97" s="42"/>
      <c r="O97" s="71"/>
      <c r="P97" s="71"/>
      <c r="Q97" s="71"/>
      <c r="R97" s="71"/>
      <c r="S97" s="63"/>
      <c r="T97" s="35">
        <f t="shared" si="25"/>
        <v>0</v>
      </c>
      <c r="U97" s="36">
        <f t="shared" si="26"/>
        <v>0</v>
      </c>
      <c r="V97" s="63"/>
      <c r="W97" s="37">
        <f t="shared" si="27"/>
        <v>0</v>
      </c>
      <c r="X97" s="36">
        <f t="shared" si="28"/>
        <v>0</v>
      </c>
      <c r="Y97" s="63"/>
      <c r="Z97" s="63"/>
      <c r="AA97" s="63">
        <f t="shared" si="21"/>
        <v>0</v>
      </c>
      <c r="AB97">
        <f>IF(AND(Dados!$B$6="Compra Programada",Dados!B11&lt;6),1,0)</f>
        <v>0</v>
      </c>
      <c r="AC97" t="s">
        <v>88</v>
      </c>
      <c r="AD97"/>
      <c r="AE97"/>
      <c r="AF97" s="63"/>
      <c r="AG97" s="63"/>
      <c r="AH97" s="63"/>
    </row>
    <row r="98" spans="1:34" x14ac:dyDescent="0.35">
      <c r="A98" s="38">
        <v>69</v>
      </c>
      <c r="B98" s="12"/>
      <c r="C98" s="13"/>
      <c r="D98" s="10">
        <f t="shared" si="29"/>
        <v>0</v>
      </c>
      <c r="E98" s="11">
        <f t="shared" si="22"/>
        <v>0</v>
      </c>
      <c r="F98" s="11">
        <f t="shared" si="23"/>
        <v>0</v>
      </c>
      <c r="G98" s="11"/>
      <c r="H98" s="63"/>
      <c r="I98" s="13"/>
      <c r="J98" s="13"/>
      <c r="K98" s="34">
        <f t="shared" si="24"/>
        <v>0</v>
      </c>
      <c r="L98" s="34"/>
      <c r="M98" s="63">
        <v>69</v>
      </c>
      <c r="N98" s="42"/>
      <c r="O98" s="71"/>
      <c r="P98" s="71"/>
      <c r="Q98" s="71"/>
      <c r="R98" s="71"/>
      <c r="S98" s="63"/>
      <c r="T98" s="35">
        <f t="shared" si="25"/>
        <v>0</v>
      </c>
      <c r="U98" s="36">
        <f t="shared" si="26"/>
        <v>0</v>
      </c>
      <c r="V98" s="63"/>
      <c r="W98" s="37">
        <f t="shared" si="27"/>
        <v>0</v>
      </c>
      <c r="X98" s="36">
        <f t="shared" si="28"/>
        <v>0</v>
      </c>
      <c r="Y98" s="63"/>
      <c r="Z98" s="63"/>
      <c r="AA98" s="63">
        <f t="shared" si="21"/>
        <v>0</v>
      </c>
      <c r="AB98">
        <f>IF(AND(Dados!$B$6="Incentivo",Dados!$B$11&lt;2),1,0)</f>
        <v>0</v>
      </c>
      <c r="AC98" t="s">
        <v>89</v>
      </c>
      <c r="AD98"/>
      <c r="AE98"/>
      <c r="AF98" s="63"/>
      <c r="AG98" s="63"/>
      <c r="AH98" s="63"/>
    </row>
    <row r="99" spans="1:34" x14ac:dyDescent="0.35">
      <c r="A99" s="38">
        <v>70</v>
      </c>
      <c r="B99" s="12"/>
      <c r="C99" s="13"/>
      <c r="D99" s="10">
        <f t="shared" si="29"/>
        <v>0</v>
      </c>
      <c r="E99" s="11">
        <f t="shared" si="22"/>
        <v>0</v>
      </c>
      <c r="F99" s="11">
        <f t="shared" si="23"/>
        <v>0</v>
      </c>
      <c r="G99" s="11"/>
      <c r="H99" s="63"/>
      <c r="I99" s="13"/>
      <c r="J99" s="13"/>
      <c r="K99" s="34">
        <f t="shared" si="24"/>
        <v>0</v>
      </c>
      <c r="L99" s="34"/>
      <c r="M99" s="63">
        <v>70</v>
      </c>
      <c r="N99" s="42"/>
      <c r="O99" s="71"/>
      <c r="P99" s="71"/>
      <c r="Q99" s="71"/>
      <c r="R99" s="71"/>
      <c r="S99" s="63"/>
      <c r="T99" s="35">
        <f t="shared" si="25"/>
        <v>0</v>
      </c>
      <c r="U99" s="36">
        <f t="shared" si="26"/>
        <v>0</v>
      </c>
      <c r="V99" s="63"/>
      <c r="W99" s="37">
        <f t="shared" si="27"/>
        <v>0</v>
      </c>
      <c r="X99" s="36">
        <f t="shared" si="28"/>
        <v>0</v>
      </c>
      <c r="Y99" s="63"/>
      <c r="Z99" s="63"/>
      <c r="AA99" s="63">
        <f t="shared" si="21"/>
        <v>0</v>
      </c>
      <c r="AB99">
        <f>IF(AND(Dados!$B$6="Filantropia Premiável",Dados!$B$11&lt;2),1,0)</f>
        <v>0</v>
      </c>
      <c r="AC99" t="s">
        <v>90</v>
      </c>
      <c r="AD99"/>
      <c r="AE99"/>
    </row>
    <row r="100" spans="1:34" x14ac:dyDescent="0.35">
      <c r="A100" s="38">
        <v>71</v>
      </c>
      <c r="B100" s="12"/>
      <c r="C100" s="13"/>
      <c r="D100" s="10">
        <f t="shared" si="29"/>
        <v>0</v>
      </c>
      <c r="E100" s="11">
        <f t="shared" si="22"/>
        <v>0</v>
      </c>
      <c r="F100" s="11">
        <f t="shared" si="23"/>
        <v>0</v>
      </c>
      <c r="G100" s="11"/>
      <c r="H100" s="63"/>
      <c r="I100" s="13"/>
      <c r="J100" s="13"/>
      <c r="K100" s="34">
        <f t="shared" si="24"/>
        <v>0</v>
      </c>
      <c r="L100" s="34"/>
      <c r="M100" s="63">
        <v>71</v>
      </c>
      <c r="N100" s="42"/>
      <c r="O100" s="71"/>
      <c r="P100" s="71"/>
      <c r="Q100" s="71"/>
      <c r="R100" s="71"/>
      <c r="S100" s="63"/>
      <c r="T100" s="35">
        <f t="shared" si="25"/>
        <v>0</v>
      </c>
      <c r="U100" s="36">
        <f t="shared" si="26"/>
        <v>0</v>
      </c>
      <c r="V100" s="63"/>
      <c r="W100" s="37">
        <f t="shared" si="27"/>
        <v>0</v>
      </c>
      <c r="X100" s="36">
        <f t="shared" si="28"/>
        <v>0</v>
      </c>
      <c r="Y100" s="63"/>
      <c r="Z100" s="63"/>
      <c r="AA100" s="63">
        <f t="shared" ca="1" si="21"/>
        <v>0</v>
      </c>
      <c r="AB100">
        <f ca="1">IF(AND(Dados!$B$6="Tradicional",OFFSET(Dados!$F$30,Dados!$B$11-1,0)&lt;100%),1,0)</f>
        <v>0</v>
      </c>
      <c r="AC100" t="s">
        <v>91</v>
      </c>
      <c r="AD100"/>
      <c r="AE100"/>
    </row>
    <row r="101" spans="1:34" x14ac:dyDescent="0.35">
      <c r="A101" s="38">
        <v>72</v>
      </c>
      <c r="B101" s="12"/>
      <c r="C101" s="13"/>
      <c r="D101" s="10">
        <f t="shared" si="29"/>
        <v>0</v>
      </c>
      <c r="E101" s="11">
        <f t="shared" si="22"/>
        <v>0</v>
      </c>
      <c r="F101" s="11">
        <f t="shared" si="23"/>
        <v>0</v>
      </c>
      <c r="G101" s="11"/>
      <c r="H101" s="63"/>
      <c r="I101" s="13"/>
      <c r="J101" s="13"/>
      <c r="K101" s="34">
        <f t="shared" si="24"/>
        <v>0</v>
      </c>
      <c r="L101" s="34"/>
      <c r="M101" s="63">
        <v>72</v>
      </c>
      <c r="N101" s="42"/>
      <c r="O101" s="71"/>
      <c r="P101" s="71"/>
      <c r="Q101" s="71"/>
      <c r="R101" s="71"/>
      <c r="S101" s="63"/>
      <c r="T101" s="35">
        <f t="shared" si="25"/>
        <v>0</v>
      </c>
      <c r="U101" s="36">
        <f t="shared" si="26"/>
        <v>0</v>
      </c>
      <c r="V101" s="63"/>
      <c r="W101" s="37">
        <f t="shared" si="27"/>
        <v>0</v>
      </c>
      <c r="X101" s="36">
        <f t="shared" si="28"/>
        <v>0</v>
      </c>
      <c r="Y101" s="63"/>
      <c r="Z101" s="63"/>
      <c r="AA101" s="63">
        <f t="shared" ca="1" si="21"/>
        <v>0</v>
      </c>
      <c r="AB101">
        <f ca="1">IF(AND(Dados!$B$6="Compra Programada",OFFSET(Dados!$F$30,Dados!$B$11-1,0)&lt;100%),1,0)</f>
        <v>0</v>
      </c>
      <c r="AC101" t="s">
        <v>92</v>
      </c>
      <c r="AD101"/>
      <c r="AE101"/>
    </row>
    <row r="102" spans="1:34" x14ac:dyDescent="0.35">
      <c r="A102" s="38">
        <v>73</v>
      </c>
      <c r="B102" s="12"/>
      <c r="C102" s="13"/>
      <c r="D102" s="10">
        <f t="shared" si="29"/>
        <v>0</v>
      </c>
      <c r="E102" s="11">
        <f t="shared" si="22"/>
        <v>0</v>
      </c>
      <c r="F102" s="11">
        <f t="shared" si="23"/>
        <v>0</v>
      </c>
      <c r="G102" s="11"/>
      <c r="H102" s="63"/>
      <c r="I102" s="13"/>
      <c r="J102" s="13"/>
      <c r="K102" s="34">
        <f t="shared" si="24"/>
        <v>0</v>
      </c>
      <c r="L102" s="34"/>
      <c r="M102" s="63">
        <v>73</v>
      </c>
      <c r="N102" s="42"/>
      <c r="O102" s="71"/>
      <c r="P102" s="71"/>
      <c r="Q102" s="71"/>
      <c r="R102" s="71"/>
      <c r="S102" s="63"/>
      <c r="T102" s="35">
        <f t="shared" si="25"/>
        <v>0</v>
      </c>
      <c r="U102" s="36">
        <f t="shared" si="26"/>
        <v>0</v>
      </c>
      <c r="V102" s="63"/>
      <c r="W102" s="37">
        <f t="shared" si="27"/>
        <v>0</v>
      </c>
      <c r="X102" s="36">
        <f t="shared" si="28"/>
        <v>0</v>
      </c>
      <c r="Y102" s="63"/>
      <c r="Z102" s="63"/>
      <c r="AA102" s="63">
        <f t="shared" ca="1" si="21"/>
        <v>0</v>
      </c>
      <c r="AB102">
        <f ca="1">IF(AND(Dados!$B$6="Instrumento de Garantia",OFFSET(Dados!$F$30,Dados!$B$11-1,0)&lt;95%),1,0)</f>
        <v>0</v>
      </c>
      <c r="AC102" t="s">
        <v>93</v>
      </c>
      <c r="AD102"/>
      <c r="AE102"/>
    </row>
    <row r="103" spans="1:34" x14ac:dyDescent="0.35">
      <c r="A103" s="38">
        <v>74</v>
      </c>
      <c r="B103" s="12"/>
      <c r="C103" s="13"/>
      <c r="D103" s="10">
        <f t="shared" si="29"/>
        <v>0</v>
      </c>
      <c r="E103" s="11">
        <f t="shared" si="22"/>
        <v>0</v>
      </c>
      <c r="F103" s="11">
        <f t="shared" si="23"/>
        <v>0</v>
      </c>
      <c r="G103" s="11"/>
      <c r="H103" s="63"/>
      <c r="I103" s="13"/>
      <c r="J103" s="13"/>
      <c r="K103" s="34">
        <f t="shared" si="24"/>
        <v>0</v>
      </c>
      <c r="L103" s="34"/>
      <c r="M103" s="63">
        <v>74</v>
      </c>
      <c r="N103" s="42"/>
      <c r="O103" s="71"/>
      <c r="P103" s="71"/>
      <c r="Q103" s="71"/>
      <c r="R103" s="71"/>
      <c r="S103" s="63"/>
      <c r="T103" s="35">
        <f t="shared" si="25"/>
        <v>0</v>
      </c>
      <c r="U103" s="36">
        <f t="shared" si="26"/>
        <v>0</v>
      </c>
      <c r="V103" s="63"/>
      <c r="W103" s="37">
        <f t="shared" si="27"/>
        <v>0</v>
      </c>
      <c r="X103" s="36">
        <f t="shared" si="28"/>
        <v>0</v>
      </c>
      <c r="Y103" s="63"/>
      <c r="Z103" s="63"/>
      <c r="AA103" s="63">
        <f t="shared" si="21"/>
        <v>0</v>
      </c>
      <c r="AB103">
        <f>IF(AND(Dados!$B$6="Compra Programada",Dados!$B$7="PU"),1,0)</f>
        <v>0</v>
      </c>
      <c r="AC103" t="s">
        <v>94</v>
      </c>
      <c r="AD103"/>
      <c r="AE103"/>
    </row>
    <row r="104" spans="1:34" x14ac:dyDescent="0.35">
      <c r="A104" s="38">
        <v>75</v>
      </c>
      <c r="B104" s="12"/>
      <c r="C104" s="13"/>
      <c r="D104" s="10">
        <f t="shared" si="29"/>
        <v>0</v>
      </c>
      <c r="E104" s="11">
        <f t="shared" si="22"/>
        <v>0</v>
      </c>
      <c r="F104" s="11">
        <f t="shared" si="23"/>
        <v>0</v>
      </c>
      <c r="G104" s="11"/>
      <c r="H104" s="63"/>
      <c r="I104" s="13"/>
      <c r="J104" s="13"/>
      <c r="K104" s="34">
        <f t="shared" si="24"/>
        <v>0</v>
      </c>
      <c r="L104" s="34"/>
      <c r="M104" s="63">
        <v>75</v>
      </c>
      <c r="N104" s="42"/>
      <c r="O104" s="71"/>
      <c r="P104" s="71"/>
      <c r="Q104" s="71"/>
      <c r="R104" s="71"/>
      <c r="S104" s="63"/>
      <c r="T104" s="35">
        <f t="shared" si="25"/>
        <v>0</v>
      </c>
      <c r="U104" s="36">
        <f t="shared" si="26"/>
        <v>0</v>
      </c>
      <c r="V104" s="63"/>
      <c r="W104" s="37">
        <f t="shared" si="27"/>
        <v>0</v>
      </c>
      <c r="X104" s="36">
        <f t="shared" si="28"/>
        <v>0</v>
      </c>
      <c r="Y104" s="63"/>
      <c r="Z104" s="63"/>
      <c r="AA104" s="63">
        <f t="shared" si="21"/>
        <v>0</v>
      </c>
      <c r="AB104">
        <f>IF(AND(Dados!$B$6="Filantropia Premiável",Dados!$B$7&lt;&gt;"PU"),1,0)</f>
        <v>0</v>
      </c>
      <c r="AC104" t="s">
        <v>95</v>
      </c>
      <c r="AD104"/>
      <c r="AE104"/>
    </row>
    <row r="105" spans="1:34" x14ac:dyDescent="0.35">
      <c r="A105" s="38">
        <v>76</v>
      </c>
      <c r="B105" s="12"/>
      <c r="C105" s="13"/>
      <c r="D105" s="10">
        <f t="shared" si="29"/>
        <v>0</v>
      </c>
      <c r="E105" s="11">
        <f t="shared" si="22"/>
        <v>0</v>
      </c>
      <c r="F105" s="11">
        <f t="shared" si="23"/>
        <v>0</v>
      </c>
      <c r="G105" s="11"/>
      <c r="H105" s="63"/>
      <c r="I105" s="13"/>
      <c r="J105" s="13"/>
      <c r="K105" s="34">
        <f t="shared" si="24"/>
        <v>0</v>
      </c>
      <c r="L105" s="34"/>
      <c r="M105" s="63">
        <v>76</v>
      </c>
      <c r="N105" s="42"/>
      <c r="O105" s="71"/>
      <c r="P105" s="71"/>
      <c r="Q105" s="71"/>
      <c r="R105" s="71"/>
      <c r="S105" s="63"/>
      <c r="T105" s="35">
        <f t="shared" si="25"/>
        <v>0</v>
      </c>
      <c r="U105" s="36">
        <f t="shared" si="26"/>
        <v>0</v>
      </c>
      <c r="V105" s="63"/>
      <c r="W105" s="37">
        <f t="shared" si="27"/>
        <v>0</v>
      </c>
      <c r="X105" s="36">
        <f t="shared" si="28"/>
        <v>0</v>
      </c>
      <c r="Y105" s="63"/>
      <c r="Z105" s="63"/>
      <c r="AA105" s="63" t="e">
        <f t="shared" ca="1" si="21"/>
        <v>#REF!</v>
      </c>
      <c r="AB105" t="e">
        <f ca="1">IF(OR(AVERAGE(OFFSET(Dados!$B$30,0,0,Dados!$B$17))&lt;AVERAGE(OFFSET(Dados!$I$30,0,0,Dados!$B$17)),AVERAGE(OFFSET(Dados!$B$30,0,0,Dados!$B$17))&lt;AVERAGE(OFFSET(Dados!$J$30,0,0,Dados!$B$17))),1,0)</f>
        <v>#REF!</v>
      </c>
      <c r="AC105" t="s">
        <v>96</v>
      </c>
      <c r="AD105"/>
      <c r="AE105"/>
    </row>
    <row r="106" spans="1:34" x14ac:dyDescent="0.35">
      <c r="A106" s="38">
        <v>77</v>
      </c>
      <c r="B106" s="12"/>
      <c r="C106" s="13"/>
      <c r="D106" s="10">
        <f t="shared" si="29"/>
        <v>0</v>
      </c>
      <c r="E106" s="11">
        <f t="shared" si="22"/>
        <v>0</v>
      </c>
      <c r="F106" s="11">
        <f t="shared" si="23"/>
        <v>0</v>
      </c>
      <c r="G106" s="11"/>
      <c r="H106" s="63"/>
      <c r="I106" s="13"/>
      <c r="J106" s="13"/>
      <c r="K106" s="34">
        <f t="shared" si="24"/>
        <v>0</v>
      </c>
      <c r="L106" s="34"/>
      <c r="M106" s="63">
        <v>77</v>
      </c>
      <c r="N106" s="42"/>
      <c r="O106" s="71"/>
      <c r="P106" s="71"/>
      <c r="Q106" s="71"/>
      <c r="R106" s="71"/>
      <c r="S106" s="63"/>
      <c r="T106" s="35">
        <f t="shared" si="25"/>
        <v>0</v>
      </c>
      <c r="U106" s="36">
        <f t="shared" si="26"/>
        <v>0</v>
      </c>
      <c r="V106" s="63"/>
      <c r="W106" s="37">
        <f t="shared" si="27"/>
        <v>0</v>
      </c>
      <c r="X106" s="36">
        <f t="shared" si="28"/>
        <v>0</v>
      </c>
      <c r="Y106" s="63"/>
      <c r="Z106" s="63"/>
      <c r="AA106" s="63">
        <f t="shared" si="21"/>
        <v>0</v>
      </c>
      <c r="AB106">
        <f>IF(Dados!N30&gt;30%*SUM(Dados!$N$30:$R$149),1,0)</f>
        <v>0</v>
      </c>
      <c r="AC106" t="s">
        <v>97</v>
      </c>
      <c r="AD106"/>
      <c r="AE106"/>
    </row>
    <row r="107" spans="1:34" x14ac:dyDescent="0.35">
      <c r="A107" s="38">
        <v>78</v>
      </c>
      <c r="B107" s="12"/>
      <c r="C107" s="13"/>
      <c r="D107" s="10">
        <f t="shared" si="29"/>
        <v>0</v>
      </c>
      <c r="E107" s="11">
        <f t="shared" si="22"/>
        <v>0</v>
      </c>
      <c r="F107" s="11">
        <f t="shared" si="23"/>
        <v>0</v>
      </c>
      <c r="G107" s="11"/>
      <c r="H107" s="63"/>
      <c r="I107" s="13"/>
      <c r="J107" s="13"/>
      <c r="K107" s="34">
        <f t="shared" si="24"/>
        <v>0</v>
      </c>
      <c r="L107" s="34"/>
      <c r="M107" s="63">
        <v>78</v>
      </c>
      <c r="N107" s="42"/>
      <c r="O107" s="71"/>
      <c r="P107" s="71"/>
      <c r="Q107" s="71"/>
      <c r="R107" s="71"/>
      <c r="S107" s="63"/>
      <c r="T107" s="35">
        <f t="shared" si="25"/>
        <v>0</v>
      </c>
      <c r="U107" s="36">
        <f t="shared" si="26"/>
        <v>0</v>
      </c>
      <c r="V107" s="63"/>
      <c r="W107" s="37">
        <f t="shared" si="27"/>
        <v>0</v>
      </c>
      <c r="X107" s="36">
        <f t="shared" si="28"/>
        <v>0</v>
      </c>
      <c r="Y107" s="63"/>
      <c r="Z107" s="63"/>
      <c r="AA107" s="63" t="e">
        <f t="shared" ca="1" si="21"/>
        <v>#REF!</v>
      </c>
      <c r="AB107" t="e">
        <f t="array" aca="1" ref="AB107" ca="1">IF(AND(OFFSET(Dados!$K$30,0,0,Dados!$B$17)=1), 0,1)</f>
        <v>#REF!</v>
      </c>
      <c r="AC107" t="s">
        <v>98</v>
      </c>
      <c r="AD107"/>
      <c r="AE107"/>
    </row>
    <row r="108" spans="1:34" x14ac:dyDescent="0.35">
      <c r="A108" s="38">
        <v>79</v>
      </c>
      <c r="B108" s="12"/>
      <c r="C108" s="13"/>
      <c r="D108" s="10">
        <f t="shared" si="29"/>
        <v>0</v>
      </c>
      <c r="E108" s="11">
        <f t="shared" si="22"/>
        <v>0</v>
      </c>
      <c r="F108" s="11">
        <f t="shared" si="23"/>
        <v>0</v>
      </c>
      <c r="G108" s="11"/>
      <c r="H108" s="63"/>
      <c r="I108" s="13"/>
      <c r="J108" s="13"/>
      <c r="K108" s="34">
        <f t="shared" si="24"/>
        <v>0</v>
      </c>
      <c r="L108" s="34"/>
      <c r="M108" s="63">
        <v>79</v>
      </c>
      <c r="N108" s="42"/>
      <c r="O108" s="71"/>
      <c r="P108" s="71"/>
      <c r="Q108" s="71"/>
      <c r="R108" s="71"/>
      <c r="S108" s="63"/>
      <c r="T108" s="35">
        <f t="shared" si="25"/>
        <v>0</v>
      </c>
      <c r="U108" s="36">
        <f t="shared" si="26"/>
        <v>0</v>
      </c>
      <c r="V108" s="63"/>
      <c r="W108" s="37">
        <f t="shared" si="27"/>
        <v>0</v>
      </c>
      <c r="X108" s="36">
        <f t="shared" si="28"/>
        <v>0</v>
      </c>
      <c r="Y108" s="63"/>
      <c r="Z108" s="63"/>
      <c r="AA108" s="63" t="e">
        <f t="shared" ca="1" si="21"/>
        <v>#REF!</v>
      </c>
      <c r="AB108" t="e">
        <f ca="1" xml:space="preserve"> IF(AE82 = "", "", IF(AE82 &lt; AE83, 0, 1))</f>
        <v>#REF!</v>
      </c>
      <c r="AC108" t="s">
        <v>99</v>
      </c>
      <c r="AD108"/>
      <c r="AE108"/>
    </row>
    <row r="109" spans="1:34" x14ac:dyDescent="0.35">
      <c r="A109" s="38">
        <v>80</v>
      </c>
      <c r="B109" s="12"/>
      <c r="C109" s="13"/>
      <c r="D109" s="10">
        <f t="shared" si="29"/>
        <v>0</v>
      </c>
      <c r="E109" s="11">
        <f t="shared" si="22"/>
        <v>0</v>
      </c>
      <c r="F109" s="11">
        <f t="shared" si="23"/>
        <v>0</v>
      </c>
      <c r="G109" s="11"/>
      <c r="H109" s="63"/>
      <c r="I109" s="13"/>
      <c r="J109" s="13"/>
      <c r="K109" s="34">
        <f t="shared" si="24"/>
        <v>0</v>
      </c>
      <c r="L109" s="34"/>
      <c r="M109" s="63">
        <v>80</v>
      </c>
      <c r="N109" s="42"/>
      <c r="O109" s="71"/>
      <c r="P109" s="71"/>
      <c r="Q109" s="71"/>
      <c r="R109" s="71"/>
      <c r="S109" s="63"/>
      <c r="T109" s="35">
        <f t="shared" si="25"/>
        <v>0</v>
      </c>
      <c r="U109" s="36">
        <f t="shared" si="26"/>
        <v>0</v>
      </c>
      <c r="V109" s="63"/>
      <c r="W109" s="37">
        <f t="shared" si="27"/>
        <v>0</v>
      </c>
      <c r="X109" s="36">
        <f t="shared" si="28"/>
        <v>0</v>
      </c>
      <c r="Y109" s="63"/>
      <c r="Z109" s="63"/>
      <c r="AA109" s="63" t="e">
        <f t="shared" ca="1" si="21"/>
        <v>#REF!</v>
      </c>
      <c r="AB109" t="e">
        <f ca="1" xml:space="preserve"> IF(SUM($AD$71:$AD$73)&gt;=1, 1, 0)</f>
        <v>#REF!</v>
      </c>
      <c r="AC109" t="s">
        <v>100</v>
      </c>
      <c r="AD109"/>
      <c r="AE109"/>
    </row>
    <row r="110" spans="1:34" x14ac:dyDescent="0.35">
      <c r="A110" s="38">
        <v>81</v>
      </c>
      <c r="B110" s="12"/>
      <c r="C110" s="13"/>
      <c r="D110" s="10">
        <f t="shared" si="29"/>
        <v>0</v>
      </c>
      <c r="E110" s="11">
        <f t="shared" si="22"/>
        <v>0</v>
      </c>
      <c r="F110" s="11">
        <f t="shared" si="23"/>
        <v>0</v>
      </c>
      <c r="G110" s="11"/>
      <c r="H110" s="63"/>
      <c r="I110" s="13"/>
      <c r="J110" s="13"/>
      <c r="K110" s="34">
        <f t="shared" si="24"/>
        <v>0</v>
      </c>
      <c r="L110" s="34"/>
      <c r="M110" s="63">
        <v>81</v>
      </c>
      <c r="N110" s="42"/>
      <c r="O110" s="71"/>
      <c r="P110" s="71"/>
      <c r="Q110" s="71"/>
      <c r="R110" s="71"/>
      <c r="S110" s="63"/>
      <c r="T110" s="35">
        <f t="shared" si="25"/>
        <v>0</v>
      </c>
      <c r="U110" s="36">
        <f t="shared" si="26"/>
        <v>0</v>
      </c>
      <c r="V110" s="63"/>
      <c r="W110" s="37">
        <f t="shared" si="27"/>
        <v>0</v>
      </c>
      <c r="X110" s="36">
        <f t="shared" si="28"/>
        <v>0</v>
      </c>
      <c r="Y110" s="63"/>
      <c r="Z110" s="63"/>
      <c r="AA110" s="63">
        <f t="shared" si="21"/>
        <v>0</v>
      </c>
      <c r="AB110">
        <f>IF(OR($B$18&gt;$B$11,$B$18&gt;24,$B$18&lt;0),1,0)</f>
        <v>0</v>
      </c>
      <c r="AC110" s="63" t="s">
        <v>101</v>
      </c>
      <c r="AD110"/>
      <c r="AE110"/>
    </row>
    <row r="111" spans="1:34" x14ac:dyDescent="0.35">
      <c r="A111" s="38">
        <v>82</v>
      </c>
      <c r="B111" s="12"/>
      <c r="C111" s="13"/>
      <c r="D111" s="10">
        <f t="shared" si="29"/>
        <v>0</v>
      </c>
      <c r="E111" s="11">
        <f t="shared" si="22"/>
        <v>0</v>
      </c>
      <c r="F111" s="11">
        <f t="shared" si="23"/>
        <v>0</v>
      </c>
      <c r="G111" s="11"/>
      <c r="H111" s="63"/>
      <c r="I111" s="13"/>
      <c r="J111" s="13"/>
      <c r="K111" s="34">
        <f t="shared" si="24"/>
        <v>0</v>
      </c>
      <c r="L111" s="34"/>
      <c r="M111" s="63">
        <v>82</v>
      </c>
      <c r="N111" s="42"/>
      <c r="O111" s="71"/>
      <c r="P111" s="71"/>
      <c r="Q111" s="71"/>
      <c r="R111" s="71"/>
      <c r="S111" s="63"/>
      <c r="T111" s="35">
        <f t="shared" si="25"/>
        <v>0</v>
      </c>
      <c r="U111" s="36">
        <f t="shared" si="26"/>
        <v>0</v>
      </c>
      <c r="V111" s="63"/>
      <c r="W111" s="37">
        <f t="shared" si="27"/>
        <v>0</v>
      </c>
      <c r="X111" s="36">
        <f t="shared" si="28"/>
        <v>0</v>
      </c>
      <c r="Y111" s="63"/>
      <c r="Z111" s="63"/>
      <c r="AA111" s="63">
        <f t="shared" si="21"/>
        <v>0</v>
      </c>
      <c r="AB111">
        <f>IF(AND(OR(Dados!$B$6 = "Tradicional",Dados!$B$6 = "Compra Programada"), $B$18 &lt; 1),1,0)</f>
        <v>0</v>
      </c>
      <c r="AC111" s="63" t="s">
        <v>102</v>
      </c>
      <c r="AD111"/>
      <c r="AE111"/>
    </row>
    <row r="112" spans="1:34" x14ac:dyDescent="0.35">
      <c r="A112" s="38">
        <v>83</v>
      </c>
      <c r="B112" s="12"/>
      <c r="C112" s="13"/>
      <c r="D112" s="10">
        <f t="shared" si="29"/>
        <v>0</v>
      </c>
      <c r="E112" s="11">
        <f t="shared" si="22"/>
        <v>0</v>
      </c>
      <c r="F112" s="11">
        <f t="shared" si="23"/>
        <v>0</v>
      </c>
      <c r="G112" s="11"/>
      <c r="H112" s="63"/>
      <c r="I112" s="13"/>
      <c r="J112" s="13"/>
      <c r="K112" s="34">
        <f t="shared" si="24"/>
        <v>0</v>
      </c>
      <c r="L112" s="34"/>
      <c r="M112" s="63">
        <v>83</v>
      </c>
      <c r="N112" s="42"/>
      <c r="O112" s="71"/>
      <c r="P112" s="71"/>
      <c r="Q112" s="71"/>
      <c r="R112" s="71"/>
      <c r="S112" s="63"/>
      <c r="T112" s="35">
        <f t="shared" si="25"/>
        <v>0</v>
      </c>
      <c r="U112" s="36">
        <f t="shared" si="26"/>
        <v>0</v>
      </c>
      <c r="V112" s="63"/>
      <c r="W112" s="37">
        <f t="shared" si="27"/>
        <v>0</v>
      </c>
      <c r="X112" s="36">
        <f t="shared" si="28"/>
        <v>0</v>
      </c>
      <c r="Y112" s="63"/>
      <c r="Z112" s="63"/>
      <c r="AA112" s="63">
        <f t="shared" si="21"/>
        <v>0</v>
      </c>
      <c r="AB112">
        <f>IF(AND(OR(Dados!$B$6 = "Popular",Dados!$B$6 = "Incentivo",Dados!$B$6 = "Filantropia Premiável"), $B$18 &lt; 2), 1, 0)</f>
        <v>0</v>
      </c>
      <c r="AC112" s="63" t="s">
        <v>103</v>
      </c>
      <c r="AD112"/>
      <c r="AE112"/>
    </row>
    <row r="113" spans="1:31" x14ac:dyDescent="0.35">
      <c r="A113" s="38">
        <v>84</v>
      </c>
      <c r="B113" s="12"/>
      <c r="C113" s="13"/>
      <c r="D113" s="10">
        <f t="shared" si="29"/>
        <v>0</v>
      </c>
      <c r="E113" s="11">
        <f t="shared" si="22"/>
        <v>0</v>
      </c>
      <c r="F113" s="11">
        <f t="shared" si="23"/>
        <v>0</v>
      </c>
      <c r="G113" s="11"/>
      <c r="H113" s="63"/>
      <c r="I113" s="13"/>
      <c r="J113" s="13"/>
      <c r="K113" s="34">
        <f t="shared" si="24"/>
        <v>0</v>
      </c>
      <c r="L113" s="34"/>
      <c r="M113" s="63">
        <v>84</v>
      </c>
      <c r="N113" s="42"/>
      <c r="O113" s="71"/>
      <c r="P113" s="71"/>
      <c r="Q113" s="71"/>
      <c r="R113" s="71"/>
      <c r="S113" s="63"/>
      <c r="T113" s="35">
        <f t="shared" si="25"/>
        <v>0</v>
      </c>
      <c r="U113" s="36">
        <f t="shared" si="26"/>
        <v>0</v>
      </c>
      <c r="V113" s="63"/>
      <c r="W113" s="37">
        <f t="shared" si="27"/>
        <v>0</v>
      </c>
      <c r="X113" s="36">
        <f t="shared" si="28"/>
        <v>0</v>
      </c>
      <c r="Y113" s="63"/>
      <c r="Z113" s="63"/>
      <c r="AA113" s="63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104</v>
      </c>
      <c r="AD113"/>
      <c r="AE113"/>
    </row>
    <row r="114" spans="1:31" x14ac:dyDescent="0.35">
      <c r="A114" s="38">
        <v>85</v>
      </c>
      <c r="B114" s="12"/>
      <c r="C114" s="13"/>
      <c r="D114" s="10">
        <f t="shared" si="29"/>
        <v>0</v>
      </c>
      <c r="E114" s="11">
        <f t="shared" si="22"/>
        <v>0</v>
      </c>
      <c r="F114" s="11">
        <f t="shared" si="23"/>
        <v>0</v>
      </c>
      <c r="G114" s="11"/>
      <c r="H114" s="63"/>
      <c r="I114" s="13"/>
      <c r="J114" s="13"/>
      <c r="K114" s="34">
        <f t="shared" si="24"/>
        <v>0</v>
      </c>
      <c r="L114" s="34"/>
      <c r="M114" s="63">
        <v>85</v>
      </c>
      <c r="N114" s="42"/>
      <c r="O114" s="71"/>
      <c r="P114" s="71"/>
      <c r="Q114" s="71"/>
      <c r="R114" s="71"/>
      <c r="S114" s="63"/>
      <c r="T114" s="35">
        <f t="shared" si="25"/>
        <v>0</v>
      </c>
      <c r="U114" s="36">
        <f t="shared" si="26"/>
        <v>0</v>
      </c>
      <c r="V114" s="63"/>
      <c r="W114" s="37">
        <f t="shared" si="27"/>
        <v>0</v>
      </c>
      <c r="X114" s="36">
        <f t="shared" si="28"/>
        <v>0</v>
      </c>
      <c r="Y114" s="63"/>
      <c r="Z114" s="63"/>
      <c r="AA114" s="63"/>
      <c r="AB114" s="63"/>
      <c r="AC114" s="63"/>
      <c r="AD114"/>
      <c r="AE114"/>
    </row>
    <row r="115" spans="1:31" x14ac:dyDescent="0.35">
      <c r="A115" s="38">
        <v>86</v>
      </c>
      <c r="B115" s="12"/>
      <c r="C115" s="13"/>
      <c r="D115" s="10">
        <f t="shared" si="29"/>
        <v>0</v>
      </c>
      <c r="E115" s="11">
        <f t="shared" si="22"/>
        <v>0</v>
      </c>
      <c r="F115" s="11">
        <f t="shared" si="23"/>
        <v>0</v>
      </c>
      <c r="G115" s="11"/>
      <c r="H115" s="63"/>
      <c r="I115" s="13"/>
      <c r="J115" s="13"/>
      <c r="K115" s="34">
        <f t="shared" si="24"/>
        <v>0</v>
      </c>
      <c r="L115" s="34"/>
      <c r="M115" s="63">
        <v>86</v>
      </c>
      <c r="N115" s="42"/>
      <c r="O115" s="71"/>
      <c r="P115" s="71"/>
      <c r="Q115" s="71"/>
      <c r="R115" s="71"/>
      <c r="S115" s="63"/>
      <c r="T115" s="35">
        <f t="shared" si="25"/>
        <v>0</v>
      </c>
      <c r="U115" s="36">
        <f t="shared" si="26"/>
        <v>0</v>
      </c>
      <c r="V115" s="63"/>
      <c r="W115" s="37">
        <f t="shared" si="27"/>
        <v>0</v>
      </c>
      <c r="X115" s="36">
        <f t="shared" si="28"/>
        <v>0</v>
      </c>
      <c r="Y115" s="63"/>
      <c r="Z115" s="63"/>
      <c r="AA115" s="63"/>
      <c r="AB115" s="63"/>
      <c r="AC115" s="63"/>
      <c r="AD115"/>
      <c r="AE115"/>
    </row>
    <row r="116" spans="1:31" x14ac:dyDescent="0.35">
      <c r="A116" s="38">
        <v>87</v>
      </c>
      <c r="B116" s="12"/>
      <c r="C116" s="13"/>
      <c r="D116" s="10">
        <f t="shared" si="29"/>
        <v>0</v>
      </c>
      <c r="E116" s="11">
        <f t="shared" si="22"/>
        <v>0</v>
      </c>
      <c r="F116" s="11">
        <f t="shared" si="23"/>
        <v>0</v>
      </c>
      <c r="G116" s="11"/>
      <c r="H116" s="63"/>
      <c r="I116" s="13"/>
      <c r="J116" s="13"/>
      <c r="K116" s="34">
        <f t="shared" si="24"/>
        <v>0</v>
      </c>
      <c r="L116" s="34"/>
      <c r="M116" s="63">
        <v>87</v>
      </c>
      <c r="N116" s="42"/>
      <c r="O116" s="71"/>
      <c r="P116" s="71"/>
      <c r="Q116" s="71"/>
      <c r="R116" s="71"/>
      <c r="S116" s="63"/>
      <c r="T116" s="35">
        <f t="shared" si="25"/>
        <v>0</v>
      </c>
      <c r="U116" s="36">
        <f t="shared" si="26"/>
        <v>0</v>
      </c>
      <c r="V116" s="63"/>
      <c r="W116" s="37">
        <f t="shared" si="27"/>
        <v>0</v>
      </c>
      <c r="X116" s="36">
        <f t="shared" si="28"/>
        <v>0</v>
      </c>
      <c r="Y116" s="63"/>
      <c r="Z116" s="63"/>
      <c r="AA116" s="63"/>
      <c r="AB116" s="63"/>
      <c r="AC116" s="63"/>
      <c r="AD116"/>
      <c r="AE116"/>
    </row>
    <row r="117" spans="1:31" x14ac:dyDescent="0.35">
      <c r="A117" s="38">
        <v>88</v>
      </c>
      <c r="B117" s="12"/>
      <c r="C117" s="13"/>
      <c r="D117" s="10">
        <f t="shared" si="29"/>
        <v>0</v>
      </c>
      <c r="E117" s="11">
        <f t="shared" si="22"/>
        <v>0</v>
      </c>
      <c r="F117" s="11">
        <f t="shared" si="23"/>
        <v>0</v>
      </c>
      <c r="G117" s="11"/>
      <c r="H117" s="63"/>
      <c r="I117" s="13"/>
      <c r="J117" s="13"/>
      <c r="K117" s="34">
        <f t="shared" si="24"/>
        <v>0</v>
      </c>
      <c r="L117" s="34"/>
      <c r="M117" s="63">
        <v>88</v>
      </c>
      <c r="N117" s="42"/>
      <c r="O117" s="71"/>
      <c r="P117" s="71"/>
      <c r="Q117" s="71"/>
      <c r="R117" s="71"/>
      <c r="S117" s="63"/>
      <c r="T117" s="35">
        <f t="shared" si="25"/>
        <v>0</v>
      </c>
      <c r="U117" s="36">
        <f t="shared" si="26"/>
        <v>0</v>
      </c>
      <c r="V117" s="63"/>
      <c r="W117" s="37">
        <f t="shared" si="27"/>
        <v>0</v>
      </c>
      <c r="X117" s="36">
        <f t="shared" si="28"/>
        <v>0</v>
      </c>
      <c r="Y117" s="63"/>
      <c r="Z117" s="63"/>
      <c r="AA117" s="63"/>
      <c r="AB117" s="63"/>
      <c r="AC117" s="63"/>
      <c r="AD117"/>
      <c r="AE117"/>
    </row>
    <row r="118" spans="1:31" x14ac:dyDescent="0.35">
      <c r="A118" s="38">
        <v>89</v>
      </c>
      <c r="B118" s="12"/>
      <c r="C118" s="13"/>
      <c r="D118" s="10">
        <f t="shared" si="29"/>
        <v>0</v>
      </c>
      <c r="E118" s="11">
        <f t="shared" si="22"/>
        <v>0</v>
      </c>
      <c r="F118" s="11">
        <f t="shared" si="23"/>
        <v>0</v>
      </c>
      <c r="G118" s="11"/>
      <c r="H118" s="63"/>
      <c r="I118" s="13"/>
      <c r="J118" s="13"/>
      <c r="K118" s="34">
        <f t="shared" si="24"/>
        <v>0</v>
      </c>
      <c r="L118" s="34"/>
      <c r="M118" s="63">
        <v>89</v>
      </c>
      <c r="N118" s="42"/>
      <c r="O118" s="71"/>
      <c r="P118" s="71"/>
      <c r="Q118" s="71"/>
      <c r="R118" s="71"/>
      <c r="S118" s="63"/>
      <c r="T118" s="35">
        <f t="shared" si="25"/>
        <v>0</v>
      </c>
      <c r="U118" s="36">
        <f t="shared" si="26"/>
        <v>0</v>
      </c>
      <c r="V118" s="63"/>
      <c r="W118" s="37">
        <f t="shared" si="27"/>
        <v>0</v>
      </c>
      <c r="X118" s="36">
        <f t="shared" si="28"/>
        <v>0</v>
      </c>
      <c r="Y118" s="63"/>
      <c r="Z118" s="63"/>
      <c r="AA118" s="63"/>
      <c r="AB118" s="63"/>
      <c r="AC118" s="63"/>
      <c r="AD118"/>
      <c r="AE118"/>
    </row>
    <row r="119" spans="1:31" x14ac:dyDescent="0.35">
      <c r="A119" s="38">
        <v>90</v>
      </c>
      <c r="B119" s="12"/>
      <c r="C119" s="13"/>
      <c r="D119" s="10">
        <f t="shared" si="29"/>
        <v>0</v>
      </c>
      <c r="E119" s="11">
        <f t="shared" si="22"/>
        <v>0</v>
      </c>
      <c r="F119" s="11">
        <f t="shared" si="23"/>
        <v>0</v>
      </c>
      <c r="G119" s="11"/>
      <c r="H119" s="63"/>
      <c r="I119" s="13"/>
      <c r="J119" s="13"/>
      <c r="K119" s="34">
        <f t="shared" si="24"/>
        <v>0</v>
      </c>
      <c r="L119" s="34"/>
      <c r="M119" s="63">
        <v>90</v>
      </c>
      <c r="N119" s="42"/>
      <c r="O119" s="71"/>
      <c r="P119" s="71"/>
      <c r="Q119" s="71"/>
      <c r="R119" s="71"/>
      <c r="S119" s="63"/>
      <c r="T119" s="35">
        <f t="shared" si="25"/>
        <v>0</v>
      </c>
      <c r="U119" s="36">
        <f t="shared" si="26"/>
        <v>0</v>
      </c>
      <c r="V119" s="63"/>
      <c r="W119" s="37">
        <f t="shared" si="27"/>
        <v>0</v>
      </c>
      <c r="X119" s="36">
        <f t="shared" si="28"/>
        <v>0</v>
      </c>
      <c r="Y119" s="63"/>
      <c r="Z119" s="63"/>
      <c r="AA119" s="63"/>
      <c r="AB119" s="63"/>
      <c r="AC119" s="63"/>
      <c r="AD119"/>
      <c r="AE119"/>
    </row>
    <row r="120" spans="1:31" x14ac:dyDescent="0.35">
      <c r="A120" s="38">
        <v>91</v>
      </c>
      <c r="B120" s="12"/>
      <c r="C120" s="13"/>
      <c r="D120" s="10">
        <f t="shared" si="29"/>
        <v>0</v>
      </c>
      <c r="E120" s="11">
        <f t="shared" si="22"/>
        <v>0</v>
      </c>
      <c r="F120" s="11">
        <f t="shared" si="23"/>
        <v>0</v>
      </c>
      <c r="G120" s="11"/>
      <c r="H120" s="63"/>
      <c r="I120" s="13"/>
      <c r="J120" s="13"/>
      <c r="K120" s="34">
        <f t="shared" si="24"/>
        <v>0</v>
      </c>
      <c r="L120" s="34"/>
      <c r="M120" s="63">
        <v>91</v>
      </c>
      <c r="N120" s="42"/>
      <c r="O120" s="71"/>
      <c r="P120" s="71"/>
      <c r="Q120" s="71"/>
      <c r="R120" s="71"/>
      <c r="S120" s="63"/>
      <c r="T120" s="35">
        <f t="shared" si="25"/>
        <v>0</v>
      </c>
      <c r="U120" s="36">
        <f t="shared" si="26"/>
        <v>0</v>
      </c>
      <c r="V120" s="63"/>
      <c r="W120" s="37">
        <f t="shared" si="27"/>
        <v>0</v>
      </c>
      <c r="X120" s="36">
        <f t="shared" si="28"/>
        <v>0</v>
      </c>
      <c r="Y120" s="63"/>
      <c r="Z120" s="63"/>
      <c r="AA120" s="63"/>
      <c r="AB120" s="63"/>
      <c r="AC120" s="63"/>
      <c r="AD120"/>
      <c r="AE120"/>
    </row>
    <row r="121" spans="1:31" x14ac:dyDescent="0.35">
      <c r="A121" s="38">
        <v>92</v>
      </c>
      <c r="B121" s="12"/>
      <c r="C121" s="13"/>
      <c r="D121" s="10">
        <f t="shared" si="29"/>
        <v>0</v>
      </c>
      <c r="E121" s="11">
        <f t="shared" si="22"/>
        <v>0</v>
      </c>
      <c r="F121" s="11">
        <f t="shared" si="23"/>
        <v>0</v>
      </c>
      <c r="G121" s="11"/>
      <c r="H121" s="63"/>
      <c r="I121" s="13"/>
      <c r="J121" s="13"/>
      <c r="K121" s="34">
        <f t="shared" si="24"/>
        <v>0</v>
      </c>
      <c r="L121" s="34"/>
      <c r="M121" s="63">
        <v>92</v>
      </c>
      <c r="N121" s="42"/>
      <c r="O121" s="71"/>
      <c r="P121" s="71"/>
      <c r="Q121" s="71"/>
      <c r="R121" s="71"/>
      <c r="S121" s="63"/>
      <c r="T121" s="35">
        <f t="shared" si="25"/>
        <v>0</v>
      </c>
      <c r="U121" s="36">
        <f t="shared" si="26"/>
        <v>0</v>
      </c>
      <c r="V121" s="63"/>
      <c r="W121" s="37">
        <f t="shared" si="27"/>
        <v>0</v>
      </c>
      <c r="X121" s="36">
        <f t="shared" si="28"/>
        <v>0</v>
      </c>
      <c r="Y121" s="63"/>
      <c r="Z121" s="63"/>
      <c r="AA121" s="63"/>
      <c r="AB121" s="63"/>
      <c r="AC121" s="63"/>
      <c r="AD121"/>
      <c r="AE121"/>
    </row>
    <row r="122" spans="1:31" x14ac:dyDescent="0.35">
      <c r="A122" s="38">
        <v>93</v>
      </c>
      <c r="B122" s="12"/>
      <c r="C122" s="13"/>
      <c r="D122" s="10">
        <f t="shared" si="29"/>
        <v>0</v>
      </c>
      <c r="E122" s="11">
        <f t="shared" si="22"/>
        <v>0</v>
      </c>
      <c r="F122" s="11">
        <f t="shared" si="23"/>
        <v>0</v>
      </c>
      <c r="G122" s="11"/>
      <c r="H122" s="63"/>
      <c r="I122" s="13"/>
      <c r="J122" s="13"/>
      <c r="K122" s="34">
        <f t="shared" si="24"/>
        <v>0</v>
      </c>
      <c r="L122" s="34"/>
      <c r="M122" s="63">
        <v>93</v>
      </c>
      <c r="N122" s="42"/>
      <c r="O122" s="71"/>
      <c r="P122" s="71"/>
      <c r="Q122" s="71"/>
      <c r="R122" s="71"/>
      <c r="S122" s="63"/>
      <c r="T122" s="35">
        <f t="shared" si="25"/>
        <v>0</v>
      </c>
      <c r="U122" s="36">
        <f t="shared" si="26"/>
        <v>0</v>
      </c>
      <c r="V122" s="63"/>
      <c r="W122" s="37">
        <f t="shared" si="27"/>
        <v>0</v>
      </c>
      <c r="X122" s="36">
        <f t="shared" si="28"/>
        <v>0</v>
      </c>
      <c r="Y122" s="63"/>
      <c r="Z122" s="63"/>
      <c r="AA122" s="63"/>
      <c r="AB122" s="63"/>
      <c r="AC122" s="63"/>
      <c r="AD122"/>
      <c r="AE122"/>
    </row>
    <row r="123" spans="1:31" x14ac:dyDescent="0.35">
      <c r="A123" s="38">
        <v>94</v>
      </c>
      <c r="B123" s="12"/>
      <c r="C123" s="13"/>
      <c r="D123" s="10">
        <f t="shared" si="29"/>
        <v>0</v>
      </c>
      <c r="E123" s="11">
        <f t="shared" si="22"/>
        <v>0</v>
      </c>
      <c r="F123" s="11">
        <f t="shared" si="23"/>
        <v>0</v>
      </c>
      <c r="G123" s="11"/>
      <c r="H123" s="63"/>
      <c r="I123" s="13"/>
      <c r="J123" s="13"/>
      <c r="K123" s="34">
        <f t="shared" si="24"/>
        <v>0</v>
      </c>
      <c r="L123" s="34"/>
      <c r="M123" s="63">
        <v>94</v>
      </c>
      <c r="N123" s="42"/>
      <c r="O123" s="71"/>
      <c r="P123" s="71"/>
      <c r="Q123" s="71"/>
      <c r="R123" s="71"/>
      <c r="S123" s="63"/>
      <c r="T123" s="35">
        <f t="shared" si="25"/>
        <v>0</v>
      </c>
      <c r="U123" s="36">
        <f t="shared" si="26"/>
        <v>0</v>
      </c>
      <c r="V123" s="63"/>
      <c r="W123" s="37">
        <f t="shared" si="27"/>
        <v>0</v>
      </c>
      <c r="X123" s="36">
        <f t="shared" si="28"/>
        <v>0</v>
      </c>
      <c r="Y123" s="63"/>
      <c r="Z123" s="63"/>
      <c r="AA123" s="63"/>
      <c r="AB123" s="63"/>
      <c r="AC123" s="63"/>
      <c r="AD123"/>
      <c r="AE123"/>
    </row>
    <row r="124" spans="1:31" x14ac:dyDescent="0.35">
      <c r="A124" s="38">
        <v>95</v>
      </c>
      <c r="B124" s="12"/>
      <c r="C124" s="13"/>
      <c r="D124" s="10">
        <f t="shared" si="29"/>
        <v>0</v>
      </c>
      <c r="E124" s="11">
        <f t="shared" si="22"/>
        <v>0</v>
      </c>
      <c r="F124" s="11">
        <f t="shared" si="23"/>
        <v>0</v>
      </c>
      <c r="G124" s="11"/>
      <c r="H124" s="63"/>
      <c r="I124" s="13"/>
      <c r="J124" s="13"/>
      <c r="K124" s="34">
        <f t="shared" si="24"/>
        <v>0</v>
      </c>
      <c r="L124" s="34"/>
      <c r="M124" s="63">
        <v>95</v>
      </c>
      <c r="N124" s="42"/>
      <c r="O124" s="71"/>
      <c r="P124" s="71"/>
      <c r="Q124" s="71"/>
      <c r="R124" s="71"/>
      <c r="S124" s="63"/>
      <c r="T124" s="35">
        <f t="shared" si="25"/>
        <v>0</v>
      </c>
      <c r="U124" s="36">
        <f t="shared" si="26"/>
        <v>0</v>
      </c>
      <c r="V124" s="63"/>
      <c r="W124" s="37">
        <f t="shared" si="27"/>
        <v>0</v>
      </c>
      <c r="X124" s="36">
        <f t="shared" si="28"/>
        <v>0</v>
      </c>
      <c r="Y124" s="63"/>
      <c r="Z124" s="63"/>
      <c r="AA124" s="63"/>
      <c r="AB124" s="63"/>
      <c r="AC124" s="63"/>
      <c r="AD124"/>
      <c r="AE124"/>
    </row>
    <row r="125" spans="1:31" x14ac:dyDescent="0.35">
      <c r="A125" s="38">
        <v>96</v>
      </c>
      <c r="B125" s="12"/>
      <c r="C125" s="13"/>
      <c r="D125" s="10">
        <f t="shared" si="29"/>
        <v>0</v>
      </c>
      <c r="E125" s="11">
        <f t="shared" si="22"/>
        <v>0</v>
      </c>
      <c r="F125" s="11">
        <f t="shared" si="23"/>
        <v>0</v>
      </c>
      <c r="G125" s="11"/>
      <c r="H125" s="63"/>
      <c r="I125" s="13"/>
      <c r="J125" s="13"/>
      <c r="K125" s="34">
        <f t="shared" ref="K125:K149" si="30">J125+I125+B125</f>
        <v>0</v>
      </c>
      <c r="L125" s="34"/>
      <c r="M125" s="63">
        <v>96</v>
      </c>
      <c r="N125" s="42"/>
      <c r="O125" s="71"/>
      <c r="P125" s="71"/>
      <c r="Q125" s="71"/>
      <c r="R125" s="71"/>
      <c r="S125" s="63"/>
      <c r="T125" s="35">
        <f t="shared" si="25"/>
        <v>0</v>
      </c>
      <c r="U125" s="36">
        <f t="shared" si="26"/>
        <v>0</v>
      </c>
      <c r="V125" s="63"/>
      <c r="W125" s="37">
        <f t="shared" si="27"/>
        <v>0</v>
      </c>
      <c r="X125" s="36">
        <f t="shared" si="28"/>
        <v>0</v>
      </c>
      <c r="Y125" s="63"/>
      <c r="Z125" s="63"/>
      <c r="AA125" s="63"/>
      <c r="AB125" s="63"/>
      <c r="AC125" s="63"/>
      <c r="AD125"/>
      <c r="AE125"/>
    </row>
    <row r="126" spans="1:31" x14ac:dyDescent="0.35">
      <c r="A126" s="38">
        <v>97</v>
      </c>
      <c r="B126" s="12"/>
      <c r="C126" s="13"/>
      <c r="D126" s="10">
        <f t="shared" si="29"/>
        <v>0</v>
      </c>
      <c r="E126" s="11">
        <f t="shared" ref="E126:E149" si="31">IF(A126&lt;=$B$11,D126*C126/IF(A126&lt;=$B$17,A126,$B$17),0)</f>
        <v>0</v>
      </c>
      <c r="F126" s="11">
        <f t="shared" ref="F126:F149" si="32">IF(A126&lt;=$B$11,IF(OR($B$7="PM",$B$7="PP",$B$6="Popular"),MAX(50%,E126),E126),0)</f>
        <v>0</v>
      </c>
      <c r="G126" s="11"/>
      <c r="H126" s="63"/>
      <c r="I126" s="13"/>
      <c r="J126" s="13"/>
      <c r="K126" s="34">
        <f t="shared" si="30"/>
        <v>0</v>
      </c>
      <c r="L126" s="34"/>
      <c r="M126" s="63">
        <v>97</v>
      </c>
      <c r="N126" s="42"/>
      <c r="O126" s="71"/>
      <c r="P126" s="71"/>
      <c r="Q126" s="71"/>
      <c r="R126" s="71"/>
      <c r="S126" s="63"/>
      <c r="T126" s="35">
        <f t="shared" ref="T126:T149" si="33">I126*$B$12</f>
        <v>0</v>
      </c>
      <c r="U126" s="36">
        <f t="shared" ref="U126:U149" si="34">$T126*(B$14+1)^-($A126-1)</f>
        <v>0</v>
      </c>
      <c r="V126" s="63"/>
      <c r="W126" s="37">
        <f t="shared" ref="W126:W149" si="35">N126+O126+P126+Q126+R126</f>
        <v>0</v>
      </c>
      <c r="X126" s="36">
        <f t="shared" ref="X126:X149" si="36">$W126*(B$14+1)^-($A126-1)</f>
        <v>0</v>
      </c>
      <c r="Y126" s="63"/>
      <c r="Z126" s="63"/>
      <c r="AA126" s="63"/>
      <c r="AB126" s="63"/>
      <c r="AC126" s="63"/>
      <c r="AD126"/>
      <c r="AE126"/>
    </row>
    <row r="127" spans="1:31" x14ac:dyDescent="0.35">
      <c r="A127" s="38">
        <v>98</v>
      </c>
      <c r="B127" s="12"/>
      <c r="C127" s="13"/>
      <c r="D127" s="10">
        <f t="shared" ref="D127:D149" si="37">IF(A127&lt;=$B$11,(D126 + B127)*(1+$B$13),0)</f>
        <v>0</v>
      </c>
      <c r="E127" s="11">
        <f t="shared" si="31"/>
        <v>0</v>
      </c>
      <c r="F127" s="11">
        <f t="shared" si="32"/>
        <v>0</v>
      </c>
      <c r="G127" s="11"/>
      <c r="H127" s="63"/>
      <c r="I127" s="13"/>
      <c r="J127" s="13"/>
      <c r="K127" s="34">
        <f t="shared" si="30"/>
        <v>0</v>
      </c>
      <c r="L127" s="34"/>
      <c r="M127" s="63">
        <v>98</v>
      </c>
      <c r="N127" s="42"/>
      <c r="O127" s="71"/>
      <c r="P127" s="71"/>
      <c r="Q127" s="71"/>
      <c r="R127" s="71"/>
      <c r="S127" s="63"/>
      <c r="T127" s="35">
        <f t="shared" si="33"/>
        <v>0</v>
      </c>
      <c r="U127" s="36">
        <f t="shared" si="34"/>
        <v>0</v>
      </c>
      <c r="V127" s="63"/>
      <c r="W127" s="37">
        <f t="shared" si="35"/>
        <v>0</v>
      </c>
      <c r="X127" s="36">
        <f t="shared" si="36"/>
        <v>0</v>
      </c>
      <c r="Y127" s="63"/>
      <c r="Z127" s="63"/>
      <c r="AA127" s="63"/>
      <c r="AB127" s="63"/>
      <c r="AC127" s="63"/>
      <c r="AD127"/>
      <c r="AE127"/>
    </row>
    <row r="128" spans="1:31" x14ac:dyDescent="0.35">
      <c r="A128" s="38">
        <v>99</v>
      </c>
      <c r="B128" s="12"/>
      <c r="C128" s="13"/>
      <c r="D128" s="10">
        <f t="shared" si="37"/>
        <v>0</v>
      </c>
      <c r="E128" s="11">
        <f t="shared" si="31"/>
        <v>0</v>
      </c>
      <c r="F128" s="11">
        <f t="shared" si="32"/>
        <v>0</v>
      </c>
      <c r="G128" s="11"/>
      <c r="H128" s="63"/>
      <c r="I128" s="13"/>
      <c r="J128" s="13"/>
      <c r="K128" s="34">
        <f t="shared" si="30"/>
        <v>0</v>
      </c>
      <c r="L128" s="34"/>
      <c r="M128" s="63">
        <v>99</v>
      </c>
      <c r="N128" s="42"/>
      <c r="O128" s="71"/>
      <c r="P128" s="71"/>
      <c r="Q128" s="71"/>
      <c r="R128" s="71"/>
      <c r="S128" s="63"/>
      <c r="T128" s="35">
        <f t="shared" si="33"/>
        <v>0</v>
      </c>
      <c r="U128" s="36">
        <f t="shared" si="34"/>
        <v>0</v>
      </c>
      <c r="V128" s="63"/>
      <c r="W128" s="37">
        <f t="shared" si="35"/>
        <v>0</v>
      </c>
      <c r="X128" s="36">
        <f t="shared" si="36"/>
        <v>0</v>
      </c>
      <c r="Y128" s="63"/>
      <c r="Z128" s="63"/>
      <c r="AA128" s="63"/>
      <c r="AB128" s="63"/>
      <c r="AC128" s="63"/>
      <c r="AD128"/>
      <c r="AE128"/>
    </row>
    <row r="129" spans="1:31" x14ac:dyDescent="0.35">
      <c r="A129" s="38">
        <v>100</v>
      </c>
      <c r="B129" s="12"/>
      <c r="C129" s="13"/>
      <c r="D129" s="10">
        <f t="shared" si="37"/>
        <v>0</v>
      </c>
      <c r="E129" s="11">
        <f t="shared" si="31"/>
        <v>0</v>
      </c>
      <c r="F129" s="11">
        <f t="shared" si="32"/>
        <v>0</v>
      </c>
      <c r="G129" s="11"/>
      <c r="H129" s="63"/>
      <c r="I129" s="13"/>
      <c r="J129" s="13"/>
      <c r="K129" s="34">
        <f t="shared" si="30"/>
        <v>0</v>
      </c>
      <c r="L129" s="34"/>
      <c r="M129" s="63">
        <v>100</v>
      </c>
      <c r="N129" s="42"/>
      <c r="O129" s="71"/>
      <c r="P129" s="71"/>
      <c r="Q129" s="71"/>
      <c r="R129" s="71"/>
      <c r="S129" s="63"/>
      <c r="T129" s="35">
        <f t="shared" si="33"/>
        <v>0</v>
      </c>
      <c r="U129" s="36">
        <f t="shared" si="34"/>
        <v>0</v>
      </c>
      <c r="V129" s="63"/>
      <c r="W129" s="37">
        <f t="shared" si="35"/>
        <v>0</v>
      </c>
      <c r="X129" s="36">
        <f t="shared" si="36"/>
        <v>0</v>
      </c>
      <c r="Y129" s="63"/>
      <c r="Z129" s="63"/>
      <c r="AA129" s="63"/>
      <c r="AB129" s="63"/>
      <c r="AC129" s="63"/>
      <c r="AD129"/>
      <c r="AE129"/>
    </row>
    <row r="130" spans="1:31" x14ac:dyDescent="0.35">
      <c r="A130" s="38">
        <v>101</v>
      </c>
      <c r="B130" s="12"/>
      <c r="C130" s="13"/>
      <c r="D130" s="10">
        <f t="shared" si="37"/>
        <v>0</v>
      </c>
      <c r="E130" s="11">
        <f t="shared" si="31"/>
        <v>0</v>
      </c>
      <c r="F130" s="11">
        <f t="shared" si="32"/>
        <v>0</v>
      </c>
      <c r="G130" s="11"/>
      <c r="H130" s="63"/>
      <c r="I130" s="13"/>
      <c r="J130" s="13"/>
      <c r="K130" s="34">
        <f t="shared" si="30"/>
        <v>0</v>
      </c>
      <c r="L130" s="34"/>
      <c r="M130" s="63">
        <v>101</v>
      </c>
      <c r="N130" s="42"/>
      <c r="O130" s="71"/>
      <c r="P130" s="71"/>
      <c r="Q130" s="71"/>
      <c r="R130" s="71"/>
      <c r="S130" s="63"/>
      <c r="T130" s="35">
        <f t="shared" si="33"/>
        <v>0</v>
      </c>
      <c r="U130" s="36">
        <f t="shared" si="34"/>
        <v>0</v>
      </c>
      <c r="V130" s="63"/>
      <c r="W130" s="37">
        <f t="shared" si="35"/>
        <v>0</v>
      </c>
      <c r="X130" s="36">
        <f t="shared" si="36"/>
        <v>0</v>
      </c>
      <c r="Y130" s="63"/>
      <c r="Z130" s="63"/>
      <c r="AA130" s="63"/>
      <c r="AB130" s="63"/>
      <c r="AC130" s="63"/>
      <c r="AD130"/>
      <c r="AE130"/>
    </row>
    <row r="131" spans="1:31" x14ac:dyDescent="0.35">
      <c r="A131" s="38">
        <v>102</v>
      </c>
      <c r="B131" s="12"/>
      <c r="C131" s="13"/>
      <c r="D131" s="10">
        <f t="shared" si="37"/>
        <v>0</v>
      </c>
      <c r="E131" s="11">
        <f t="shared" si="31"/>
        <v>0</v>
      </c>
      <c r="F131" s="11">
        <f t="shared" si="32"/>
        <v>0</v>
      </c>
      <c r="G131" s="11"/>
      <c r="H131" s="63"/>
      <c r="I131" s="13"/>
      <c r="J131" s="13"/>
      <c r="K131" s="34">
        <f t="shared" si="30"/>
        <v>0</v>
      </c>
      <c r="L131" s="34"/>
      <c r="M131" s="63">
        <v>102</v>
      </c>
      <c r="N131" s="42"/>
      <c r="O131" s="71"/>
      <c r="P131" s="71"/>
      <c r="Q131" s="71"/>
      <c r="R131" s="71"/>
      <c r="S131" s="63"/>
      <c r="T131" s="35">
        <f t="shared" si="33"/>
        <v>0</v>
      </c>
      <c r="U131" s="36">
        <f t="shared" si="34"/>
        <v>0</v>
      </c>
      <c r="V131" s="63"/>
      <c r="W131" s="37">
        <f t="shared" si="35"/>
        <v>0</v>
      </c>
      <c r="X131" s="36">
        <f t="shared" si="36"/>
        <v>0</v>
      </c>
    </row>
    <row r="132" spans="1:31" x14ac:dyDescent="0.35">
      <c r="A132" s="38">
        <v>103</v>
      </c>
      <c r="B132" s="12"/>
      <c r="C132" s="13"/>
      <c r="D132" s="10">
        <f t="shared" si="37"/>
        <v>0</v>
      </c>
      <c r="E132" s="11">
        <f t="shared" si="31"/>
        <v>0</v>
      </c>
      <c r="F132" s="11">
        <f t="shared" si="32"/>
        <v>0</v>
      </c>
      <c r="G132" s="11"/>
      <c r="H132" s="63"/>
      <c r="I132" s="13"/>
      <c r="J132" s="13"/>
      <c r="K132" s="34">
        <f t="shared" si="30"/>
        <v>0</v>
      </c>
      <c r="L132" s="34"/>
      <c r="M132" s="63">
        <v>103</v>
      </c>
      <c r="N132" s="42"/>
      <c r="O132" s="71"/>
      <c r="P132" s="71"/>
      <c r="Q132" s="71"/>
      <c r="R132" s="71"/>
      <c r="S132" s="63"/>
      <c r="T132" s="35">
        <f t="shared" si="33"/>
        <v>0</v>
      </c>
      <c r="U132" s="36">
        <f t="shared" si="34"/>
        <v>0</v>
      </c>
      <c r="V132" s="63"/>
      <c r="W132" s="37">
        <f t="shared" si="35"/>
        <v>0</v>
      </c>
      <c r="X132" s="36">
        <f t="shared" si="36"/>
        <v>0</v>
      </c>
    </row>
    <row r="133" spans="1:31" x14ac:dyDescent="0.35">
      <c r="A133" s="38">
        <v>104</v>
      </c>
      <c r="B133" s="12"/>
      <c r="C133" s="13"/>
      <c r="D133" s="10">
        <f t="shared" si="37"/>
        <v>0</v>
      </c>
      <c r="E133" s="11">
        <f t="shared" si="31"/>
        <v>0</v>
      </c>
      <c r="F133" s="11">
        <f t="shared" si="32"/>
        <v>0</v>
      </c>
      <c r="G133" s="11"/>
      <c r="H133" s="63"/>
      <c r="I133" s="13"/>
      <c r="J133" s="13"/>
      <c r="K133" s="34">
        <f t="shared" si="30"/>
        <v>0</v>
      </c>
      <c r="L133" s="34"/>
      <c r="M133" s="63">
        <v>104</v>
      </c>
      <c r="N133" s="42"/>
      <c r="O133" s="71"/>
      <c r="P133" s="71"/>
      <c r="Q133" s="71"/>
      <c r="R133" s="71"/>
      <c r="S133" s="63"/>
      <c r="T133" s="35">
        <f t="shared" si="33"/>
        <v>0</v>
      </c>
      <c r="U133" s="36">
        <f t="shared" si="34"/>
        <v>0</v>
      </c>
      <c r="V133" s="63"/>
      <c r="W133" s="37">
        <f t="shared" si="35"/>
        <v>0</v>
      </c>
      <c r="X133" s="36">
        <f t="shared" si="36"/>
        <v>0</v>
      </c>
    </row>
    <row r="134" spans="1:31" x14ac:dyDescent="0.35">
      <c r="A134" s="38">
        <v>105</v>
      </c>
      <c r="B134" s="12"/>
      <c r="C134" s="13"/>
      <c r="D134" s="10">
        <f t="shared" si="37"/>
        <v>0</v>
      </c>
      <c r="E134" s="11">
        <f t="shared" si="31"/>
        <v>0</v>
      </c>
      <c r="F134" s="11">
        <f t="shared" si="32"/>
        <v>0</v>
      </c>
      <c r="G134" s="11"/>
      <c r="H134" s="63"/>
      <c r="I134" s="13"/>
      <c r="J134" s="13"/>
      <c r="K134" s="34">
        <f t="shared" si="30"/>
        <v>0</v>
      </c>
      <c r="L134" s="34"/>
      <c r="M134" s="63">
        <v>105</v>
      </c>
      <c r="N134" s="42"/>
      <c r="O134" s="71"/>
      <c r="P134" s="71"/>
      <c r="Q134" s="71"/>
      <c r="R134" s="71"/>
      <c r="S134" s="63"/>
      <c r="T134" s="35">
        <f t="shared" si="33"/>
        <v>0</v>
      </c>
      <c r="U134" s="36">
        <f t="shared" si="34"/>
        <v>0</v>
      </c>
      <c r="V134" s="63"/>
      <c r="W134" s="37">
        <f t="shared" si="35"/>
        <v>0</v>
      </c>
      <c r="X134" s="36">
        <f t="shared" si="36"/>
        <v>0</v>
      </c>
    </row>
    <row r="135" spans="1:31" x14ac:dyDescent="0.35">
      <c r="A135" s="38">
        <v>106</v>
      </c>
      <c r="B135" s="12"/>
      <c r="C135" s="13"/>
      <c r="D135" s="10">
        <f t="shared" si="37"/>
        <v>0</v>
      </c>
      <c r="E135" s="11">
        <f t="shared" si="31"/>
        <v>0</v>
      </c>
      <c r="F135" s="11">
        <f t="shared" si="32"/>
        <v>0</v>
      </c>
      <c r="G135" s="11"/>
      <c r="H135" s="63"/>
      <c r="I135" s="13"/>
      <c r="J135" s="13"/>
      <c r="K135" s="34">
        <f t="shared" si="30"/>
        <v>0</v>
      </c>
      <c r="L135" s="34"/>
      <c r="M135" s="63">
        <v>106</v>
      </c>
      <c r="N135" s="42"/>
      <c r="O135" s="71"/>
      <c r="P135" s="71"/>
      <c r="Q135" s="71"/>
      <c r="R135" s="71"/>
      <c r="S135" s="63"/>
      <c r="T135" s="35">
        <f t="shared" si="33"/>
        <v>0</v>
      </c>
      <c r="U135" s="36">
        <f t="shared" si="34"/>
        <v>0</v>
      </c>
      <c r="V135" s="63"/>
      <c r="W135" s="37">
        <f t="shared" si="35"/>
        <v>0</v>
      </c>
      <c r="X135" s="36">
        <f t="shared" si="36"/>
        <v>0</v>
      </c>
    </row>
    <row r="136" spans="1:31" x14ac:dyDescent="0.35">
      <c r="A136" s="38">
        <v>107</v>
      </c>
      <c r="B136" s="12"/>
      <c r="C136" s="13"/>
      <c r="D136" s="10">
        <f t="shared" si="37"/>
        <v>0</v>
      </c>
      <c r="E136" s="11">
        <f t="shared" si="31"/>
        <v>0</v>
      </c>
      <c r="F136" s="11">
        <f t="shared" si="32"/>
        <v>0</v>
      </c>
      <c r="G136" s="11"/>
      <c r="H136" s="63"/>
      <c r="I136" s="13"/>
      <c r="J136" s="13"/>
      <c r="K136" s="34">
        <f t="shared" si="30"/>
        <v>0</v>
      </c>
      <c r="L136" s="34"/>
      <c r="M136" s="63">
        <v>107</v>
      </c>
      <c r="N136" s="42"/>
      <c r="O136" s="71"/>
      <c r="P136" s="71"/>
      <c r="Q136" s="71"/>
      <c r="R136" s="71"/>
      <c r="S136" s="63"/>
      <c r="T136" s="35">
        <f t="shared" si="33"/>
        <v>0</v>
      </c>
      <c r="U136" s="36">
        <f t="shared" si="34"/>
        <v>0</v>
      </c>
      <c r="V136" s="63"/>
      <c r="W136" s="37">
        <f t="shared" si="35"/>
        <v>0</v>
      </c>
      <c r="X136" s="36">
        <f t="shared" si="36"/>
        <v>0</v>
      </c>
    </row>
    <row r="137" spans="1:31" x14ac:dyDescent="0.35">
      <c r="A137" s="38">
        <v>108</v>
      </c>
      <c r="B137" s="12"/>
      <c r="C137" s="13"/>
      <c r="D137" s="10">
        <f t="shared" si="37"/>
        <v>0</v>
      </c>
      <c r="E137" s="11">
        <f t="shared" si="31"/>
        <v>0</v>
      </c>
      <c r="F137" s="11">
        <f t="shared" si="32"/>
        <v>0</v>
      </c>
      <c r="G137" s="11"/>
      <c r="H137" s="63"/>
      <c r="I137" s="13"/>
      <c r="J137" s="13"/>
      <c r="K137" s="34">
        <f t="shared" si="30"/>
        <v>0</v>
      </c>
      <c r="L137" s="34"/>
      <c r="M137" s="63">
        <v>108</v>
      </c>
      <c r="N137" s="42"/>
      <c r="O137" s="71"/>
      <c r="P137" s="71"/>
      <c r="Q137" s="71"/>
      <c r="R137" s="71"/>
      <c r="S137" s="63"/>
      <c r="T137" s="35">
        <f t="shared" si="33"/>
        <v>0</v>
      </c>
      <c r="U137" s="36">
        <f t="shared" si="34"/>
        <v>0</v>
      </c>
      <c r="V137" s="63"/>
      <c r="W137" s="37">
        <f t="shared" si="35"/>
        <v>0</v>
      </c>
      <c r="X137" s="36">
        <f t="shared" si="36"/>
        <v>0</v>
      </c>
    </row>
    <row r="138" spans="1:31" x14ac:dyDescent="0.35">
      <c r="A138" s="38">
        <v>109</v>
      </c>
      <c r="B138" s="12"/>
      <c r="C138" s="13"/>
      <c r="D138" s="10">
        <f t="shared" si="37"/>
        <v>0</v>
      </c>
      <c r="E138" s="11">
        <f t="shared" si="31"/>
        <v>0</v>
      </c>
      <c r="F138" s="11">
        <f t="shared" si="32"/>
        <v>0</v>
      </c>
      <c r="G138" s="11"/>
      <c r="H138" s="63"/>
      <c r="I138" s="13"/>
      <c r="J138" s="13"/>
      <c r="K138" s="34">
        <f t="shared" si="30"/>
        <v>0</v>
      </c>
      <c r="L138" s="34"/>
      <c r="M138" s="63">
        <v>109</v>
      </c>
      <c r="N138" s="42"/>
      <c r="O138" s="71"/>
      <c r="P138" s="71"/>
      <c r="Q138" s="71"/>
      <c r="R138" s="71"/>
      <c r="S138" s="63"/>
      <c r="T138" s="35">
        <f t="shared" si="33"/>
        <v>0</v>
      </c>
      <c r="U138" s="36">
        <f t="shared" si="34"/>
        <v>0</v>
      </c>
      <c r="V138" s="63"/>
      <c r="W138" s="37">
        <f t="shared" si="35"/>
        <v>0</v>
      </c>
      <c r="X138" s="36">
        <f t="shared" si="36"/>
        <v>0</v>
      </c>
    </row>
    <row r="139" spans="1:31" x14ac:dyDescent="0.35">
      <c r="A139" s="38">
        <v>110</v>
      </c>
      <c r="B139" s="12"/>
      <c r="C139" s="13"/>
      <c r="D139" s="10">
        <f t="shared" si="37"/>
        <v>0</v>
      </c>
      <c r="E139" s="11">
        <f t="shared" si="31"/>
        <v>0</v>
      </c>
      <c r="F139" s="11">
        <f t="shared" si="32"/>
        <v>0</v>
      </c>
      <c r="G139" s="11"/>
      <c r="H139" s="63"/>
      <c r="I139" s="13"/>
      <c r="J139" s="13"/>
      <c r="K139" s="34">
        <f t="shared" si="30"/>
        <v>0</v>
      </c>
      <c r="L139" s="34"/>
      <c r="M139" s="63">
        <v>110</v>
      </c>
      <c r="N139" s="42"/>
      <c r="O139" s="71"/>
      <c r="P139" s="71"/>
      <c r="Q139" s="71"/>
      <c r="R139" s="71"/>
      <c r="S139" s="63"/>
      <c r="T139" s="35">
        <f t="shared" si="33"/>
        <v>0</v>
      </c>
      <c r="U139" s="36">
        <f t="shared" si="34"/>
        <v>0</v>
      </c>
      <c r="V139" s="63"/>
      <c r="W139" s="37">
        <f t="shared" si="35"/>
        <v>0</v>
      </c>
      <c r="X139" s="36">
        <f t="shared" si="36"/>
        <v>0</v>
      </c>
    </row>
    <row r="140" spans="1:31" x14ac:dyDescent="0.35">
      <c r="A140" s="38">
        <v>111</v>
      </c>
      <c r="B140" s="12"/>
      <c r="C140" s="13"/>
      <c r="D140" s="10">
        <f t="shared" si="37"/>
        <v>0</v>
      </c>
      <c r="E140" s="11">
        <f t="shared" si="31"/>
        <v>0</v>
      </c>
      <c r="F140" s="11">
        <f t="shared" si="32"/>
        <v>0</v>
      </c>
      <c r="G140" s="11"/>
      <c r="H140" s="63"/>
      <c r="I140" s="13"/>
      <c r="J140" s="13"/>
      <c r="K140" s="34">
        <f t="shared" si="30"/>
        <v>0</v>
      </c>
      <c r="L140" s="34"/>
      <c r="M140" s="63">
        <v>111</v>
      </c>
      <c r="N140" s="42"/>
      <c r="O140" s="71"/>
      <c r="P140" s="71"/>
      <c r="Q140" s="71"/>
      <c r="R140" s="71"/>
      <c r="S140" s="63"/>
      <c r="T140" s="35">
        <f t="shared" si="33"/>
        <v>0</v>
      </c>
      <c r="U140" s="36">
        <f t="shared" si="34"/>
        <v>0</v>
      </c>
      <c r="V140" s="63"/>
      <c r="W140" s="37">
        <f t="shared" si="35"/>
        <v>0</v>
      </c>
      <c r="X140" s="36">
        <f t="shared" si="36"/>
        <v>0</v>
      </c>
    </row>
    <row r="141" spans="1:31" x14ac:dyDescent="0.35">
      <c r="A141" s="38">
        <v>112</v>
      </c>
      <c r="B141" s="12"/>
      <c r="C141" s="13"/>
      <c r="D141" s="10">
        <f t="shared" si="37"/>
        <v>0</v>
      </c>
      <c r="E141" s="11">
        <f t="shared" si="31"/>
        <v>0</v>
      </c>
      <c r="F141" s="11">
        <f t="shared" si="32"/>
        <v>0</v>
      </c>
      <c r="G141" s="11"/>
      <c r="H141" s="63"/>
      <c r="I141" s="13"/>
      <c r="J141" s="13"/>
      <c r="K141" s="34">
        <f t="shared" si="30"/>
        <v>0</v>
      </c>
      <c r="L141" s="34"/>
      <c r="M141" s="63">
        <v>112</v>
      </c>
      <c r="N141" s="42"/>
      <c r="O141" s="71"/>
      <c r="P141" s="71"/>
      <c r="Q141" s="71"/>
      <c r="R141" s="71"/>
      <c r="S141" s="63"/>
      <c r="T141" s="35">
        <f t="shared" si="33"/>
        <v>0</v>
      </c>
      <c r="U141" s="36">
        <f t="shared" si="34"/>
        <v>0</v>
      </c>
      <c r="V141" s="63"/>
      <c r="W141" s="37">
        <f t="shared" si="35"/>
        <v>0</v>
      </c>
      <c r="X141" s="36">
        <f t="shared" si="36"/>
        <v>0</v>
      </c>
    </row>
    <row r="142" spans="1:31" x14ac:dyDescent="0.35">
      <c r="A142" s="38">
        <v>113</v>
      </c>
      <c r="B142" s="12"/>
      <c r="C142" s="13"/>
      <c r="D142" s="10">
        <f t="shared" si="37"/>
        <v>0</v>
      </c>
      <c r="E142" s="11">
        <f t="shared" si="31"/>
        <v>0</v>
      </c>
      <c r="F142" s="11">
        <f t="shared" si="32"/>
        <v>0</v>
      </c>
      <c r="G142" s="11"/>
      <c r="H142" s="63"/>
      <c r="I142" s="13"/>
      <c r="J142" s="13"/>
      <c r="K142" s="34">
        <f t="shared" si="30"/>
        <v>0</v>
      </c>
      <c r="L142" s="34"/>
      <c r="M142" s="63">
        <v>113</v>
      </c>
      <c r="N142" s="42"/>
      <c r="O142" s="71"/>
      <c r="P142" s="71"/>
      <c r="Q142" s="71"/>
      <c r="R142" s="71"/>
      <c r="S142" s="63"/>
      <c r="T142" s="35">
        <f t="shared" si="33"/>
        <v>0</v>
      </c>
      <c r="U142" s="36">
        <f t="shared" si="34"/>
        <v>0</v>
      </c>
      <c r="V142" s="63"/>
      <c r="W142" s="37">
        <f t="shared" si="35"/>
        <v>0</v>
      </c>
      <c r="X142" s="36">
        <f t="shared" si="36"/>
        <v>0</v>
      </c>
    </row>
    <row r="143" spans="1:31" x14ac:dyDescent="0.35">
      <c r="A143" s="38">
        <v>114</v>
      </c>
      <c r="B143" s="12"/>
      <c r="C143" s="13"/>
      <c r="D143" s="10">
        <f t="shared" si="37"/>
        <v>0</v>
      </c>
      <c r="E143" s="11">
        <f t="shared" si="31"/>
        <v>0</v>
      </c>
      <c r="F143" s="11">
        <f t="shared" si="32"/>
        <v>0</v>
      </c>
      <c r="G143" s="11"/>
      <c r="H143" s="63"/>
      <c r="I143" s="13"/>
      <c r="J143" s="13"/>
      <c r="K143" s="34">
        <f t="shared" si="30"/>
        <v>0</v>
      </c>
      <c r="L143" s="34"/>
      <c r="M143" s="63">
        <v>114</v>
      </c>
      <c r="N143" s="42"/>
      <c r="O143" s="71"/>
      <c r="P143" s="71"/>
      <c r="Q143" s="71"/>
      <c r="R143" s="71"/>
      <c r="S143" s="63"/>
      <c r="T143" s="35">
        <f t="shared" si="33"/>
        <v>0</v>
      </c>
      <c r="U143" s="36">
        <f t="shared" si="34"/>
        <v>0</v>
      </c>
      <c r="V143" s="63"/>
      <c r="W143" s="37">
        <f t="shared" si="35"/>
        <v>0</v>
      </c>
      <c r="X143" s="36">
        <f t="shared" si="36"/>
        <v>0</v>
      </c>
    </row>
    <row r="144" spans="1:31" x14ac:dyDescent="0.35">
      <c r="A144" s="38">
        <v>115</v>
      </c>
      <c r="B144" s="12"/>
      <c r="C144" s="13"/>
      <c r="D144" s="10">
        <f t="shared" si="37"/>
        <v>0</v>
      </c>
      <c r="E144" s="11">
        <f t="shared" si="31"/>
        <v>0</v>
      </c>
      <c r="F144" s="11">
        <f t="shared" si="32"/>
        <v>0</v>
      </c>
      <c r="G144" s="11"/>
      <c r="H144" s="63"/>
      <c r="I144" s="13"/>
      <c r="J144" s="13"/>
      <c r="K144" s="34">
        <f t="shared" si="30"/>
        <v>0</v>
      </c>
      <c r="L144" s="34"/>
      <c r="M144" s="63">
        <v>115</v>
      </c>
      <c r="N144" s="42"/>
      <c r="O144" s="71"/>
      <c r="P144" s="71"/>
      <c r="Q144" s="71"/>
      <c r="R144" s="71"/>
      <c r="S144" s="63"/>
      <c r="T144" s="35">
        <f t="shared" si="33"/>
        <v>0</v>
      </c>
      <c r="U144" s="36">
        <f t="shared" si="34"/>
        <v>0</v>
      </c>
      <c r="V144" s="63"/>
      <c r="W144" s="37">
        <f t="shared" si="35"/>
        <v>0</v>
      </c>
      <c r="X144" s="36">
        <f t="shared" si="36"/>
        <v>0</v>
      </c>
    </row>
    <row r="145" spans="1:24" x14ac:dyDescent="0.35">
      <c r="A145" s="38">
        <v>116</v>
      </c>
      <c r="B145" s="12"/>
      <c r="C145" s="13"/>
      <c r="D145" s="10">
        <f t="shared" si="37"/>
        <v>0</v>
      </c>
      <c r="E145" s="11">
        <f t="shared" si="31"/>
        <v>0</v>
      </c>
      <c r="F145" s="11">
        <f t="shared" si="32"/>
        <v>0</v>
      </c>
      <c r="G145" s="11"/>
      <c r="H145" s="63"/>
      <c r="I145" s="13"/>
      <c r="J145" s="13"/>
      <c r="K145" s="34">
        <f t="shared" si="30"/>
        <v>0</v>
      </c>
      <c r="L145" s="34"/>
      <c r="M145" s="63">
        <v>116</v>
      </c>
      <c r="N145" s="42"/>
      <c r="O145" s="71"/>
      <c r="P145" s="71"/>
      <c r="Q145" s="71"/>
      <c r="R145" s="71"/>
      <c r="S145" s="63"/>
      <c r="T145" s="35">
        <f t="shared" si="33"/>
        <v>0</v>
      </c>
      <c r="U145" s="36">
        <f t="shared" si="34"/>
        <v>0</v>
      </c>
      <c r="V145" s="63"/>
      <c r="W145" s="37">
        <f t="shared" si="35"/>
        <v>0</v>
      </c>
      <c r="X145" s="36">
        <f t="shared" si="36"/>
        <v>0</v>
      </c>
    </row>
    <row r="146" spans="1:24" x14ac:dyDescent="0.35">
      <c r="A146" s="38">
        <v>117</v>
      </c>
      <c r="B146" s="12"/>
      <c r="C146" s="13"/>
      <c r="D146" s="10">
        <f t="shared" si="37"/>
        <v>0</v>
      </c>
      <c r="E146" s="11">
        <f t="shared" si="31"/>
        <v>0</v>
      </c>
      <c r="F146" s="11">
        <f t="shared" si="32"/>
        <v>0</v>
      </c>
      <c r="G146" s="11"/>
      <c r="H146" s="63"/>
      <c r="I146" s="13"/>
      <c r="J146" s="13"/>
      <c r="K146" s="34">
        <f t="shared" si="30"/>
        <v>0</v>
      </c>
      <c r="L146" s="34"/>
      <c r="M146" s="63">
        <v>117</v>
      </c>
      <c r="N146" s="42"/>
      <c r="O146" s="71"/>
      <c r="P146" s="71"/>
      <c r="Q146" s="71"/>
      <c r="R146" s="71"/>
      <c r="S146" s="63"/>
      <c r="T146" s="35">
        <f t="shared" si="33"/>
        <v>0</v>
      </c>
      <c r="U146" s="36">
        <f t="shared" si="34"/>
        <v>0</v>
      </c>
      <c r="V146" s="63"/>
      <c r="W146" s="37">
        <f t="shared" si="35"/>
        <v>0</v>
      </c>
      <c r="X146" s="36">
        <f t="shared" si="36"/>
        <v>0</v>
      </c>
    </row>
    <row r="147" spans="1:24" x14ac:dyDescent="0.35">
      <c r="A147" s="38">
        <v>118</v>
      </c>
      <c r="B147" s="12"/>
      <c r="C147" s="13"/>
      <c r="D147" s="10">
        <f t="shared" si="37"/>
        <v>0</v>
      </c>
      <c r="E147" s="11">
        <f t="shared" si="31"/>
        <v>0</v>
      </c>
      <c r="F147" s="11">
        <f t="shared" si="32"/>
        <v>0</v>
      </c>
      <c r="G147" s="11"/>
      <c r="H147" s="63"/>
      <c r="I147" s="13"/>
      <c r="J147" s="13"/>
      <c r="K147" s="34">
        <f t="shared" si="30"/>
        <v>0</v>
      </c>
      <c r="L147" s="34"/>
      <c r="M147" s="63">
        <v>118</v>
      </c>
      <c r="N147" s="42"/>
      <c r="O147" s="71"/>
      <c r="P147" s="71"/>
      <c r="Q147" s="71"/>
      <c r="R147" s="71"/>
      <c r="S147" s="63"/>
      <c r="T147" s="35">
        <f t="shared" si="33"/>
        <v>0</v>
      </c>
      <c r="U147" s="36">
        <f t="shared" si="34"/>
        <v>0</v>
      </c>
      <c r="V147" s="63"/>
      <c r="W147" s="37">
        <f t="shared" si="35"/>
        <v>0</v>
      </c>
      <c r="X147" s="36">
        <f t="shared" si="36"/>
        <v>0</v>
      </c>
    </row>
    <row r="148" spans="1:24" x14ac:dyDescent="0.35">
      <c r="A148" s="38">
        <v>119</v>
      </c>
      <c r="B148" s="12"/>
      <c r="C148" s="13"/>
      <c r="D148" s="10">
        <f t="shared" si="37"/>
        <v>0</v>
      </c>
      <c r="E148" s="11">
        <f t="shared" si="31"/>
        <v>0</v>
      </c>
      <c r="F148" s="11">
        <f t="shared" si="32"/>
        <v>0</v>
      </c>
      <c r="G148" s="11"/>
      <c r="H148" s="63"/>
      <c r="I148" s="13"/>
      <c r="J148" s="13"/>
      <c r="K148" s="34">
        <f t="shared" si="30"/>
        <v>0</v>
      </c>
      <c r="L148" s="34"/>
      <c r="M148" s="63">
        <v>119</v>
      </c>
      <c r="N148" s="42"/>
      <c r="O148" s="71"/>
      <c r="P148" s="71"/>
      <c r="Q148" s="71"/>
      <c r="R148" s="71"/>
      <c r="S148" s="63"/>
      <c r="T148" s="35">
        <f t="shared" si="33"/>
        <v>0</v>
      </c>
      <c r="U148" s="36">
        <f t="shared" si="34"/>
        <v>0</v>
      </c>
      <c r="V148" s="63"/>
      <c r="W148" s="37">
        <f t="shared" si="35"/>
        <v>0</v>
      </c>
      <c r="X148" s="36">
        <f t="shared" si="36"/>
        <v>0</v>
      </c>
    </row>
    <row r="149" spans="1:24" x14ac:dyDescent="0.35">
      <c r="A149" s="38">
        <v>120</v>
      </c>
      <c r="B149" s="12"/>
      <c r="C149" s="13"/>
      <c r="D149" s="10">
        <f t="shared" si="37"/>
        <v>0</v>
      </c>
      <c r="E149" s="11">
        <f t="shared" si="31"/>
        <v>0</v>
      </c>
      <c r="F149" s="11">
        <f t="shared" si="32"/>
        <v>0</v>
      </c>
      <c r="G149" s="11"/>
      <c r="H149" s="63"/>
      <c r="I149" s="13"/>
      <c r="J149" s="13"/>
      <c r="K149" s="34">
        <f t="shared" si="30"/>
        <v>0</v>
      </c>
      <c r="L149" s="34"/>
      <c r="M149" s="63">
        <v>120</v>
      </c>
      <c r="N149" s="42"/>
      <c r="O149" s="71"/>
      <c r="P149" s="71"/>
      <c r="Q149" s="71"/>
      <c r="R149" s="71"/>
      <c r="S149" s="63"/>
      <c r="T149" s="35">
        <f t="shared" si="33"/>
        <v>0</v>
      </c>
      <c r="U149" s="36">
        <f t="shared" si="34"/>
        <v>0</v>
      </c>
      <c r="V149" s="63"/>
      <c r="W149" s="37">
        <f t="shared" si="35"/>
        <v>0</v>
      </c>
      <c r="X149" s="36">
        <f t="shared" si="36"/>
        <v>0</v>
      </c>
    </row>
  </sheetData>
  <sheetProtection algorithmName="SHA-512" hashValue="lD6JEiLyLV6LMv9HuW4lyC4De7ALOituSyuX12IIiIejvgnh54+UsDlOZm2y+e1LKhGKw3vNNuyG5WTJ6JCqVQ==" saltValue="ZCEiDAHwfqGDdelNb1z0yQ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B5">
    <cfRule type="notContainsBlanks" dxfId="69" priority="220">
      <formula>LEN(TRIM(B5))&gt;0</formula>
    </cfRule>
    <cfRule type="containsBlanks" dxfId="68" priority="221">
      <formula>LEN(TRIM(B5))=0</formula>
    </cfRule>
  </conditionalFormatting>
  <conditionalFormatting sqref="B7">
    <cfRule type="notContainsBlanks" dxfId="67" priority="216">
      <formula>LEN(TRIM(B7))&gt;0</formula>
    </cfRule>
    <cfRule type="containsBlanks" dxfId="66" priority="217">
      <formula>LEN(TRIM(B7))=0</formula>
    </cfRule>
  </conditionalFormatting>
  <conditionalFormatting sqref="B4">
    <cfRule type="notContainsBlanks" dxfId="65" priority="175">
      <formula>LEN(TRIM(B4))&gt;0</formula>
    </cfRule>
    <cfRule type="containsBlanks" dxfId="64" priority="176">
      <formula>LEN(TRIM(B4))=0</formula>
    </cfRule>
  </conditionalFormatting>
  <conditionalFormatting sqref="B13">
    <cfRule type="notContainsBlanks" dxfId="63" priority="173">
      <formula>LEN(TRIM(B13))&gt;0</formula>
    </cfRule>
    <cfRule type="containsBlanks" dxfId="62" priority="174">
      <formula>LEN(TRIM(B13))=0</formula>
    </cfRule>
  </conditionalFormatting>
  <conditionalFormatting sqref="B12">
    <cfRule type="notContainsBlanks" dxfId="61" priority="170">
      <formula>LEN(TRIM(B12))&gt;0</formula>
    </cfRule>
    <cfRule type="containsBlanks" dxfId="60" priority="171">
      <formula>LEN(TRIM(B12))=0</formula>
    </cfRule>
  </conditionalFormatting>
  <conditionalFormatting sqref="B15">
    <cfRule type="notContainsBlanks" dxfId="59" priority="168">
      <formula>LEN(TRIM(B15))&gt;0</formula>
    </cfRule>
    <cfRule type="containsBlanks" dxfId="58" priority="169">
      <formula>LEN(TRIM(B15))=0</formula>
    </cfRule>
  </conditionalFormatting>
  <conditionalFormatting sqref="B11">
    <cfRule type="notContainsBlanks" dxfId="57" priority="164">
      <formula>LEN(TRIM(B11))&gt;0</formula>
    </cfRule>
    <cfRule type="containsBlanks" dxfId="56" priority="165">
      <formula>LEN(TRIM(B11))=0</formula>
    </cfRule>
  </conditionalFormatting>
  <conditionalFormatting sqref="B14">
    <cfRule type="notContainsBlanks" dxfId="55" priority="160">
      <formula>LEN(TRIM(B14))&gt;0</formula>
    </cfRule>
    <cfRule type="containsBlanks" dxfId="54" priority="161">
      <formula>LEN(TRIM(B14))=0</formula>
    </cfRule>
  </conditionalFormatting>
  <conditionalFormatting sqref="B16">
    <cfRule type="notContainsBlanks" dxfId="53" priority="123">
      <formula>LEN(TRIM(B16))&gt;0</formula>
    </cfRule>
    <cfRule type="containsBlanks" dxfId="52" priority="124">
      <formula>LEN(TRIM(B16))=0</formula>
    </cfRule>
  </conditionalFormatting>
  <conditionalFormatting sqref="B8">
    <cfRule type="notContainsBlanks" dxfId="51" priority="121">
      <formula>LEN(TRIM(B8))&gt;0</formula>
    </cfRule>
    <cfRule type="containsBlanks" dxfId="50" priority="122">
      <formula>LEN(TRIM(B8))=0</formula>
    </cfRule>
  </conditionalFormatting>
  <conditionalFormatting sqref="N30">
    <cfRule type="expression" dxfId="49" priority="88">
      <formula>IF(AND($A30&lt;=$A30,N30&gt;=0),1,0)</formula>
    </cfRule>
  </conditionalFormatting>
  <conditionalFormatting sqref="N30">
    <cfRule type="expression" dxfId="48" priority="89">
      <formula>IF($A30&lt;=$A$30,1,0)</formula>
    </cfRule>
  </conditionalFormatting>
  <conditionalFormatting sqref="B18">
    <cfRule type="notContainsBlanks" dxfId="47" priority="46">
      <formula>LEN(TRIM(B18))&gt;0</formula>
    </cfRule>
    <cfRule type="containsBlanks" dxfId="46" priority="47">
      <formula>LEN(TRIM(B18))=0</formula>
    </cfRule>
  </conditionalFormatting>
  <conditionalFormatting sqref="B6">
    <cfRule type="notContainsBlanks" dxfId="45" priority="44">
      <formula>LEN(TRIM(B6))&gt;0</formula>
    </cfRule>
    <cfRule type="containsBlanks" dxfId="44" priority="45">
      <formula>LEN(TRIM(B6))=0</formula>
    </cfRule>
  </conditionalFormatting>
  <conditionalFormatting sqref="B24">
    <cfRule type="notContainsBlanks" dxfId="43" priority="42">
      <formula>LEN(TRIM(B24))&gt;0</formula>
    </cfRule>
    <cfRule type="containsBlanks" dxfId="42" priority="43">
      <formula>LEN(TRIM(B24))=0</formula>
    </cfRule>
  </conditionalFormatting>
  <conditionalFormatting sqref="B23">
    <cfRule type="notContainsBlanks" dxfId="41" priority="40">
      <formula>LEN(TRIM(B23))&gt;0</formula>
    </cfRule>
    <cfRule type="containsBlanks" dxfId="40" priority="41">
      <formula>LEN(TRIM(B23))=0</formula>
    </cfRule>
  </conditionalFormatting>
  <conditionalFormatting sqref="B17">
    <cfRule type="expression" dxfId="39" priority="335">
      <formula>IF(AND(B7="PU",B17=1),0,IF(AND(B7="PM",B17=B11),0,IF(AND(B7="PP",B17&gt;1,B17&lt;=B11),0,1)))</formula>
    </cfRule>
    <cfRule type="containsBlanks" dxfId="38" priority="336">
      <formula>LEN(TRIM(B17))=0</formula>
    </cfRule>
    <cfRule type="notContainsBlanks" dxfId="37" priority="337">
      <formula>LEN(TRIM(B17))&gt;0</formula>
    </cfRule>
  </conditionalFormatting>
  <conditionalFormatting sqref="C66:C149">
    <cfRule type="expression" dxfId="36" priority="338">
      <formula>IF(AND($A66&lt;=$B$11,C66&gt;=90%),1,0)</formula>
    </cfRule>
  </conditionalFormatting>
  <conditionalFormatting sqref="C66:C149">
    <cfRule type="expression" dxfId="35" priority="339">
      <formula>IF($A66&lt;=$B$11,1,0)</formula>
    </cfRule>
  </conditionalFormatting>
  <conditionalFormatting sqref="O90:R149 R30:R89">
    <cfRule type="expression" dxfId="34" priority="340">
      <formula>IF(AND($A30&lt;=$B$11,O30&gt;=0),1,0)</formula>
    </cfRule>
  </conditionalFormatting>
  <conditionalFormatting sqref="O90:R149 R30:R89">
    <cfRule type="expression" dxfId="33" priority="341">
      <formula>IF($A30&lt;=$B$11,1,0)</formula>
    </cfRule>
  </conditionalFormatting>
  <conditionalFormatting sqref="B30:B149 I30:J149">
    <cfRule type="expression" dxfId="32" priority="342">
      <formula>IF(AND($A30&lt;=$B$17,B30&gt;=0,B30&lt;&gt;""),1,0)</formula>
    </cfRule>
  </conditionalFormatting>
  <conditionalFormatting sqref="B30:B149 I30:J149">
    <cfRule type="expression" dxfId="31" priority="344">
      <formula>IF($A30&lt;=$B$17,1,0)</formula>
    </cfRule>
  </conditionalFormatting>
  <conditionalFormatting sqref="P66:P89">
    <cfRule type="expression" dxfId="30" priority="36">
      <formula>IF(AND($A66&lt;=$B$11,P66&gt;=0),1,0)</formula>
    </cfRule>
  </conditionalFormatting>
  <conditionalFormatting sqref="P66:P89">
    <cfRule type="expression" dxfId="29" priority="37">
      <formula>IF($A66&lt;=$B$11,1,0)</formula>
    </cfRule>
  </conditionalFormatting>
  <conditionalFormatting sqref="Q66:Q89">
    <cfRule type="expression" dxfId="28" priority="34">
      <formula>IF(AND($A66&lt;=$B$11,Q66&gt;=0),1,0)</formula>
    </cfRule>
  </conditionalFormatting>
  <conditionalFormatting sqref="Q66:Q89">
    <cfRule type="expression" dxfId="27" priority="35">
      <formula>IF($A66&lt;=$B$11,1,0)</formula>
    </cfRule>
  </conditionalFormatting>
  <conditionalFormatting sqref="O66:O89">
    <cfRule type="expression" dxfId="26" priority="32">
      <formula>IF(AND($A66&lt;=$B$11,O66&gt;=0),1,0)</formula>
    </cfRule>
  </conditionalFormatting>
  <conditionalFormatting sqref="O66:O89">
    <cfRule type="expression" dxfId="25" priority="33">
      <formula>IF($A66&lt;=$B$11,1,0)</formula>
    </cfRule>
  </conditionalFormatting>
  <conditionalFormatting sqref="C30">
    <cfRule type="expression" dxfId="24" priority="30">
      <formula>IF(AND($A30&lt;=$B$11,C30&gt;=90%),1,0)</formula>
    </cfRule>
  </conditionalFormatting>
  <conditionalFormatting sqref="C30">
    <cfRule type="expression" dxfId="23" priority="31">
      <formula>IF($A30&lt;=$B$11,1,0)</formula>
    </cfRule>
  </conditionalFormatting>
  <conditionalFormatting sqref="C31:C65">
    <cfRule type="expression" dxfId="22" priority="28">
      <formula>IF(AND($A31&lt;=$B$11,C31&gt;=90%),1,0)</formula>
    </cfRule>
  </conditionalFormatting>
  <conditionalFormatting sqref="C31:C65">
    <cfRule type="expression" dxfId="21" priority="29">
      <formula>IF($A31&lt;=$B$11,1,0)</formula>
    </cfRule>
  </conditionalFormatting>
  <conditionalFormatting sqref="P30:P65">
    <cfRule type="expression" dxfId="20" priority="26">
      <formula>IF(AND($A30&lt;=$B$11,P30&gt;=0),1,0)</formula>
    </cfRule>
  </conditionalFormatting>
  <conditionalFormatting sqref="P30:P65">
    <cfRule type="expression" dxfId="19" priority="27">
      <formula>IF($A30&lt;=$B$11,1,0)</formula>
    </cfRule>
  </conditionalFormatting>
  <conditionalFormatting sqref="Q30:Q65">
    <cfRule type="expression" dxfId="18" priority="24">
      <formula>IF(AND($A30&lt;=$B$11,Q30&gt;=0),1,0)</formula>
    </cfRule>
  </conditionalFormatting>
  <conditionalFormatting sqref="Q30:Q65">
    <cfRule type="expression" dxfId="17" priority="25">
      <formula>IF($A30&lt;=$B$11,1,0)</formula>
    </cfRule>
  </conditionalFormatting>
  <conditionalFormatting sqref="O30:O65">
    <cfRule type="expression" dxfId="16" priority="22">
      <formula>IF(AND($A30&lt;=$B$11,O30&gt;=0),1,0)</formula>
    </cfRule>
  </conditionalFormatting>
  <conditionalFormatting sqref="O30:O65">
    <cfRule type="expression" dxfId="15" priority="23">
      <formula>IF($A30&lt;=$B$11,1,0)</formula>
    </cfRule>
  </conditionalFormatting>
  <conditionalFormatting sqref="B20">
    <cfRule type="notContainsBlanks" dxfId="14" priority="20">
      <formula>LEN(TRIM(B20))&gt;0</formula>
    </cfRule>
    <cfRule type="containsBlanks" dxfId="13" priority="21">
      <formula>LEN(TRIM(B20))=0</formula>
    </cfRule>
    <cfRule type="expression" dxfId="12" priority="7">
      <formula>"$B$19=""n"""</formula>
    </cfRule>
    <cfRule type="expression" dxfId="11" priority="6">
      <formula>$B$19="n"</formula>
    </cfRule>
    <cfRule type="expression" dxfId="10" priority="5">
      <formula>$B$19="n"</formula>
    </cfRule>
    <cfRule type="expression" dxfId="9" priority="3">
      <formula>$B$19="NÃO"</formula>
    </cfRule>
    <cfRule type="expression" dxfId="8" priority="2">
      <formula>$I$16="A Quota efetiva de sorteio deve ser MENOR que a Quota de capitalização"</formula>
    </cfRule>
  </conditionalFormatting>
  <conditionalFormatting sqref="B19">
    <cfRule type="notContainsBlanks" dxfId="7" priority="18">
      <formula>LEN(TRIM(B19))&gt;0</formula>
    </cfRule>
    <cfRule type="containsBlanks" dxfId="6" priority="19">
      <formula>LEN(TRIM(B19))=0</formula>
    </cfRule>
  </conditionalFormatting>
  <conditionalFormatting sqref="O31">
    <cfRule type="cellIs" dxfId="5" priority="15" operator="greaterThanOrEqual">
      <formula>"$b$30"</formula>
    </cfRule>
  </conditionalFormatting>
  <conditionalFormatting sqref="A26">
    <cfRule type="expression" dxfId="4" priority="11">
      <formula>"se($B$19&lt;&gt;""S"";"</formula>
    </cfRule>
  </conditionalFormatting>
  <conditionalFormatting sqref="B26">
    <cfRule type="expression" dxfId="1" priority="8">
      <formula>AND(B19="S",H16=" ")</formula>
    </cfRule>
    <cfRule type="expression" dxfId="2" priority="9">
      <formula>$B$20&gt;0</formula>
    </cfRule>
    <cfRule type="expression" dxfId="0" priority="1">
      <formula>$I$16="PRODUTO IRREGULAR - A quota efetiva de sorteio está superior à quota de capitalização"</formula>
    </cfRule>
  </conditionalFormatting>
  <conditionalFormatting sqref="A20">
    <cfRule type="expression" dxfId="3" priority="4">
      <formula>$B$19="NÃO"</formula>
    </cfRule>
  </conditionalFormatting>
  <dataValidations xWindow="380" yWindow="347" count="20">
    <dataValidation type="list" allowBlank="1" showInputMessage="1" showErrorMessage="1" sqref="D1" xr:uid="{00000000-0002-0000-0000-000000000000}">
      <formula1>"Sim, Não"</formula1>
    </dataValidation>
    <dataValidation type="whole" allowBlank="1" showInputMessage="1" showErrorMessage="1" sqref="B11" xr:uid="{00000000-0002-0000-0000-000001000000}">
      <formula1>2</formula1>
      <formula2>120</formula2>
    </dataValidation>
    <dataValidation type="decimal" allowBlank="1" showInputMessage="1" showErrorMessage="1" sqref="B150:B164" xr:uid="{00000000-0002-0000-0000-000002000000}">
      <formula1>0</formula1>
      <formula2>1</formula2>
    </dataValidation>
    <dataValidation type="list" showInputMessage="1" showErrorMessage="1" sqref="B8" xr:uid="{00000000-0002-0000-0000-000003000000}">
      <formula1>"Não Padrão, Padrão"</formula1>
    </dataValidation>
    <dataValidation type="list" allowBlank="1" showInputMessage="1" showErrorMessage="1" sqref="B7" xr:uid="{00000000-0002-0000-0000-000004000000}">
      <formula1>"PM, PU, PP"</formula1>
    </dataValidation>
    <dataValidation type="textLength" operator="equal" allowBlank="1" showInputMessage="1" showErrorMessage="1" prompt="A entrada é numérica com 12 algarismos._x000a_15414._ _ _ _ _ _/ _ _ _ _ - _ _" sqref="B5" xr:uid="{00000000-0002-0000-0000-000005000000}">
      <formula1>12</formula1>
    </dataValidation>
    <dataValidation type="custom" allowBlank="1" showInputMessage="1" showErrorMessage="1" sqref="N30:N149" xr:uid="{00000000-0002-0000-0000-000006000000}">
      <formula1>IF(AND($A30&lt;=$A$30,$N30&gt;=0),1,0)</formula1>
    </dataValidation>
    <dataValidation type="whole" allowBlank="1" showInputMessage="1" showErrorMessage="1" sqref="B12" xr:uid="{00000000-0002-0000-0000-000007000000}">
      <formula1>100</formula1>
      <formula2>1000000000</formula2>
    </dataValidation>
    <dataValidation type="decimal" allowBlank="1" showInputMessage="1" showErrorMessage="1" sqref="B13" xr:uid="{00000000-0002-0000-0000-000008000000}">
      <formula1>0.0016</formula1>
      <formula2>0.05</formula2>
    </dataValidation>
    <dataValidation type="decimal" allowBlank="1" showInputMessage="1" showErrorMessage="1" sqref="B14" xr:uid="{00000000-0002-0000-0000-000009000000}">
      <formula1>0</formula1>
      <formula2>0.05</formula2>
    </dataValidation>
    <dataValidation type="decimal" allowBlank="1" showInputMessage="1" showErrorMessage="1" sqref="B15:B16" xr:uid="{00000000-0002-0000-0000-00000A000000}">
      <formula1>0.01</formula1>
      <formula2>1000000</formula2>
    </dataValidation>
    <dataValidation type="custom" allowBlank="1" showInputMessage="1" showErrorMessage="1" sqref="B18" xr:uid="{00000000-0002-0000-0000-00000B000000}">
      <formula1>IF(AND(B18&gt;=0,B18&lt;=$B$11),1,0)</formula1>
    </dataValidation>
    <dataValidation type="list" allowBlank="1" showInputMessage="1" showErrorMessage="1" sqref="B6" xr:uid="{00000000-0002-0000-0000-00000C000000}">
      <formula1>"Tradicional, Popular, Incentivo, Instrumento de Garantia, Compra Programada, Filantropia Premiável"</formula1>
    </dataValidation>
    <dataValidation type="custom" allowBlank="1" showInputMessage="1" showErrorMessage="1" sqref="B17" xr:uid="{00000000-0002-0000-0000-00000D000000}">
      <formula1>IF(AND(B7="PU",B17=1),1,IF(AND(B7="PM",B17=B11),1,IF(AND(B7="PP",B17&gt;1,B17&lt;=B11),1,0)))</formula1>
    </dataValidation>
    <dataValidation type="time" allowBlank="1" showInputMessage="1" showErrorMessage="1" sqref="B23" xr:uid="{00000000-0002-0000-0000-00000E000000}">
      <formula1>0</formula1>
      <formula2>0.999988425925926</formula2>
    </dataValidation>
    <dataValidation type="date" allowBlank="1" showInputMessage="1" showErrorMessage="1" sqref="B24" xr:uid="{00000000-0002-0000-0000-00000F000000}">
      <formula1>43101</formula1>
      <formula2>73050</formula2>
    </dataValidation>
    <dataValidation type="custom" allowBlank="1" showInputMessage="1" showErrorMessage="1" sqref="I30:J149 B30:B149" xr:uid="{00000000-0002-0000-0000-000010000000}">
      <formula1>IF(AND($A30&lt;=$B$17,B30&gt;=0,B30&lt;=100%),1,0)</formula1>
    </dataValidation>
    <dataValidation type="custom" allowBlank="1" showInputMessage="1" showErrorMessage="1" sqref="C30:C149" xr:uid="{00000000-0002-0000-0000-000011000000}">
      <formula1>IF(AND($A30&lt;=$B$11,C30&gt;=90%,C30&lt;=100%),1,0)</formula1>
    </dataValidation>
    <dataValidation type="custom" allowBlank="1" showInputMessage="1" showErrorMessage="1" sqref="O30:R149" xr:uid="{00000000-0002-0000-0000-000012000000}">
      <formula1>IF(AND($A30&lt;=$B$11,O30&gt;=0),1,0)</formula1>
    </dataValidation>
    <dataValidation type="list" allowBlank="1" showInputMessage="1" showErrorMessage="1" sqref="B19" xr:uid="{35F948B8-B0C3-49A2-ACF4-A0B4FC07C072}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 xr:uid="{00000000-0002-0000-0000-000013000000}">
          <x14:formula1>
            <xm:f>'Patrimônio Líquido'!$A$3:$A$19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G20"/>
  <sheetViews>
    <sheetView workbookViewId="0">
      <selection activeCell="B12" sqref="B12"/>
    </sheetView>
  </sheetViews>
  <sheetFormatPr defaultRowHeight="14.5" x14ac:dyDescent="0.35"/>
  <cols>
    <col min="1" max="1" width="41.54296875" bestFit="1" customWidth="1"/>
    <col min="2" max="2" width="21.54296875" customWidth="1"/>
    <col min="3" max="3" width="18.453125" customWidth="1"/>
    <col min="4" max="4" width="14" customWidth="1"/>
    <col min="6" max="6" width="35.81640625" customWidth="1"/>
    <col min="7" max="7" width="42.7265625" customWidth="1"/>
  </cols>
  <sheetData>
    <row r="1" spans="1:7" ht="15" thickBot="1" x14ac:dyDescent="0.4">
      <c r="A1" s="104" t="s">
        <v>143</v>
      </c>
      <c r="B1" s="105"/>
      <c r="C1" s="106"/>
    </row>
    <row r="2" spans="1:7" ht="15" thickBot="1" x14ac:dyDescent="0.4">
      <c r="A2" s="2" t="s">
        <v>105</v>
      </c>
      <c r="B2" s="2" t="s">
        <v>106</v>
      </c>
      <c r="C2" s="2" t="s">
        <v>107</v>
      </c>
      <c r="D2" s="2" t="s">
        <v>108</v>
      </c>
    </row>
    <row r="3" spans="1:7" ht="15" thickBot="1" x14ac:dyDescent="0.4">
      <c r="A3" s="8" t="s">
        <v>109</v>
      </c>
      <c r="B3" s="68">
        <v>18406959.390000001</v>
      </c>
      <c r="C3" s="68">
        <f>B3* 0.1</f>
        <v>1840695.9390000002</v>
      </c>
      <c r="D3" s="7" t="s">
        <v>110</v>
      </c>
      <c r="F3" s="66"/>
      <c r="G3" s="67"/>
    </row>
    <row r="4" spans="1:7" ht="15" thickBot="1" x14ac:dyDescent="0.4">
      <c r="A4" s="8" t="s">
        <v>111</v>
      </c>
      <c r="B4" s="68">
        <v>17324052.190000001</v>
      </c>
      <c r="C4" s="68">
        <f t="shared" ref="C4:C19" si="0">B4* 0.1</f>
        <v>1732405.2190000003</v>
      </c>
      <c r="D4" s="7" t="s">
        <v>112</v>
      </c>
      <c r="F4" s="66"/>
      <c r="G4" s="67"/>
    </row>
    <row r="5" spans="1:7" ht="15" thickBot="1" x14ac:dyDescent="0.4">
      <c r="A5" s="8" t="s">
        <v>113</v>
      </c>
      <c r="B5" s="68">
        <v>824579673.58000004</v>
      </c>
      <c r="C5" s="68">
        <f t="shared" si="0"/>
        <v>82457967.35800001</v>
      </c>
      <c r="D5" s="7" t="s">
        <v>114</v>
      </c>
      <c r="F5" s="66"/>
      <c r="G5" s="67"/>
    </row>
    <row r="6" spans="1:7" ht="15" thickBot="1" x14ac:dyDescent="0.4">
      <c r="A6" s="8" t="s">
        <v>115</v>
      </c>
      <c r="B6" s="68">
        <v>481823405.62</v>
      </c>
      <c r="C6" s="68">
        <f t="shared" si="0"/>
        <v>48182340.562000006</v>
      </c>
      <c r="D6" s="7" t="s">
        <v>116</v>
      </c>
      <c r="F6" s="66"/>
      <c r="G6" s="67"/>
    </row>
    <row r="7" spans="1:7" ht="15" thickBot="1" x14ac:dyDescent="0.4">
      <c r="A7" s="8" t="s">
        <v>117</v>
      </c>
      <c r="B7" s="68">
        <v>463451772.29000002</v>
      </c>
      <c r="C7" s="68">
        <f t="shared" si="0"/>
        <v>46345177.229000002</v>
      </c>
      <c r="D7" s="7" t="s">
        <v>118</v>
      </c>
      <c r="F7" s="66"/>
      <c r="G7" s="67"/>
    </row>
    <row r="8" spans="1:7" ht="15" thickBot="1" x14ac:dyDescent="0.4">
      <c r="A8" s="8" t="s">
        <v>119</v>
      </c>
      <c r="B8" s="68">
        <v>24363809.510000002</v>
      </c>
      <c r="C8" s="68">
        <f t="shared" si="0"/>
        <v>2436380.9510000004</v>
      </c>
      <c r="D8" s="7" t="s">
        <v>120</v>
      </c>
      <c r="F8" s="66"/>
      <c r="G8" s="67"/>
    </row>
    <row r="9" spans="1:7" ht="15" thickBot="1" x14ac:dyDescent="0.4">
      <c r="A9" s="8" t="s">
        <v>121</v>
      </c>
      <c r="B9" s="68">
        <v>803702755.51999998</v>
      </c>
      <c r="C9" s="68">
        <f t="shared" si="0"/>
        <v>80370275.552000001</v>
      </c>
      <c r="D9" s="7" t="s">
        <v>122</v>
      </c>
      <c r="F9" s="66"/>
      <c r="G9" s="67"/>
    </row>
    <row r="10" spans="1:7" ht="15" thickBot="1" x14ac:dyDescent="0.4">
      <c r="A10" s="8" t="s">
        <v>123</v>
      </c>
      <c r="B10" s="68">
        <v>104608808.51000001</v>
      </c>
      <c r="C10" s="68">
        <f t="shared" si="0"/>
        <v>10460880.851000002</v>
      </c>
      <c r="D10" s="7" t="s">
        <v>124</v>
      </c>
      <c r="F10" s="66"/>
      <c r="G10" s="67"/>
    </row>
    <row r="11" spans="1:7" ht="15" thickBot="1" x14ac:dyDescent="0.4">
      <c r="A11" s="8" t="s">
        <v>125</v>
      </c>
      <c r="B11" s="68">
        <v>43574093.479999997</v>
      </c>
      <c r="C11" s="68">
        <f t="shared" si="0"/>
        <v>4357409.3480000002</v>
      </c>
      <c r="D11" s="7" t="s">
        <v>126</v>
      </c>
      <c r="F11" s="66"/>
      <c r="G11" s="67"/>
    </row>
    <row r="12" spans="1:7" ht="15" thickBot="1" x14ac:dyDescent="0.4">
      <c r="A12" s="8" t="s">
        <v>127</v>
      </c>
      <c r="B12" s="68">
        <v>206147420.05000001</v>
      </c>
      <c r="C12" s="68">
        <f t="shared" si="0"/>
        <v>20614742.005000003</v>
      </c>
      <c r="D12" s="7" t="s">
        <v>128</v>
      </c>
      <c r="F12" s="66"/>
      <c r="G12" s="67"/>
    </row>
    <row r="13" spans="1:7" ht="15" thickBot="1" x14ac:dyDescent="0.4">
      <c r="A13" s="8" t="s">
        <v>129</v>
      </c>
      <c r="B13" s="68">
        <v>21333890.890000001</v>
      </c>
      <c r="C13" s="68">
        <f t="shared" si="0"/>
        <v>2133389.0890000002</v>
      </c>
      <c r="D13" s="7" t="s">
        <v>130</v>
      </c>
      <c r="F13" s="66"/>
      <c r="G13" s="67"/>
    </row>
    <row r="14" spans="1:7" ht="15" thickBot="1" x14ac:dyDescent="0.4">
      <c r="A14" s="8" t="s">
        <v>131</v>
      </c>
      <c r="B14" s="68">
        <v>37844769.869999997</v>
      </c>
      <c r="C14" s="68">
        <f t="shared" si="0"/>
        <v>3784476.9869999997</v>
      </c>
      <c r="D14" s="7" t="s">
        <v>132</v>
      </c>
      <c r="F14" s="66"/>
      <c r="G14" s="67"/>
    </row>
    <row r="15" spans="1:7" ht="15" thickBot="1" x14ac:dyDescent="0.4">
      <c r="A15" s="8" t="s">
        <v>133</v>
      </c>
      <c r="B15" s="68">
        <v>20359533.190000001</v>
      </c>
      <c r="C15" s="68">
        <f t="shared" si="0"/>
        <v>2035953.3190000001</v>
      </c>
      <c r="D15" s="7" t="s">
        <v>134</v>
      </c>
      <c r="F15" s="66"/>
      <c r="G15" s="67"/>
    </row>
    <row r="16" spans="1:7" ht="15" thickBot="1" x14ac:dyDescent="0.4">
      <c r="A16" s="8" t="s">
        <v>135</v>
      </c>
      <c r="B16" s="68">
        <v>341353815.58999997</v>
      </c>
      <c r="C16" s="68">
        <f t="shared" si="0"/>
        <v>34135381.559</v>
      </c>
      <c r="D16" s="7" t="s">
        <v>136</v>
      </c>
      <c r="F16" s="66"/>
      <c r="G16" s="67"/>
    </row>
    <row r="17" spans="1:7" ht="15" thickBot="1" x14ac:dyDescent="0.4">
      <c r="A17" s="8" t="s">
        <v>137</v>
      </c>
      <c r="B17" s="68">
        <v>89922934.890000001</v>
      </c>
      <c r="C17" s="68">
        <f t="shared" si="0"/>
        <v>8992293.4890000001</v>
      </c>
      <c r="D17" s="7" t="s">
        <v>138</v>
      </c>
      <c r="F17" s="66"/>
      <c r="G17" s="67"/>
    </row>
    <row r="18" spans="1:7" ht="15" thickBot="1" x14ac:dyDescent="0.4">
      <c r="A18" s="8" t="s">
        <v>139</v>
      </c>
      <c r="B18" s="68">
        <v>12776002.060000001</v>
      </c>
      <c r="C18" s="68">
        <f t="shared" si="0"/>
        <v>1277600.2060000002</v>
      </c>
      <c r="D18" s="7" t="s">
        <v>140</v>
      </c>
      <c r="F18" s="66"/>
      <c r="G18" s="67"/>
    </row>
    <row r="19" spans="1:7" ht="15" thickBot="1" x14ac:dyDescent="0.4">
      <c r="A19" s="9" t="s">
        <v>141</v>
      </c>
      <c r="B19" s="69">
        <v>29666963.82</v>
      </c>
      <c r="C19" s="69">
        <f t="shared" si="0"/>
        <v>2966696.3820000002</v>
      </c>
      <c r="D19" s="7" t="s">
        <v>142</v>
      </c>
      <c r="F19" s="66"/>
      <c r="G19" s="67"/>
    </row>
    <row r="20" spans="1:7" x14ac:dyDescent="0.35">
      <c r="B20" s="70"/>
    </row>
  </sheetData>
  <sheetProtection password="9E32"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ana de souza</cp:lastModifiedBy>
  <cp:revision/>
  <dcterms:created xsi:type="dcterms:W3CDTF">2015-10-22T17:36:08Z</dcterms:created>
  <dcterms:modified xsi:type="dcterms:W3CDTF">2020-05-22T17:26:00Z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